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710" windowHeight="4830" tabRatio="716" activeTab="3"/>
  </bookViews>
  <sheets>
    <sheet name="Charts" sheetId="1" r:id="rId1"/>
    <sheet name="Tables" sheetId="2" r:id="rId2"/>
    <sheet name="FYE Nov 2008 BS Analysis" sheetId="3" r:id="rId3"/>
    <sheet name="FYE Nov 2008 IS Analysis" sheetId="4" r:id="rId4"/>
  </sheets>
  <externalReferences>
    <externalReference r:id="rId7"/>
    <externalReference r:id="rId8"/>
  </externalReferences>
  <definedNames>
    <definedName name="_xlnm.Print_Titles" localSheetId="3">'FYE Nov 2008 IS Analysis'!$1:$1</definedName>
  </definedNames>
  <calcPr fullCalcOnLoad="1"/>
</workbook>
</file>

<file path=xl/comments4.xml><?xml version="1.0" encoding="utf-8"?>
<comments xmlns="http://schemas.openxmlformats.org/spreadsheetml/2006/main">
  <authors>
    <author>elowrey</author>
  </authors>
  <commentList>
    <comment ref="P1" authorId="0">
      <text>
        <r>
          <rPr>
            <b/>
            <sz val="8"/>
            <rFont val="Tahoma"/>
            <family val="0"/>
          </rPr>
          <t>elowrey:</t>
        </r>
        <r>
          <rPr>
            <sz val="8"/>
            <rFont val="Tahoma"/>
            <family val="0"/>
          </rPr>
          <t xml:space="preserve">
Average monthly expense.  In some cases I used fewer than 12 months or another method to get more useful information.</t>
        </r>
      </text>
    </comment>
    <comment ref="R1" authorId="0">
      <text>
        <r>
          <rPr>
            <b/>
            <sz val="8"/>
            <rFont val="Tahoma"/>
            <family val="0"/>
          </rPr>
          <t>elowrey:</t>
        </r>
        <r>
          <rPr>
            <sz val="8"/>
            <rFont val="Tahoma"/>
            <family val="0"/>
          </rPr>
          <t xml:space="preserve">
This is usually based on the monthly expese although I used other numbers where it makes sense, such as for the rent in the new location.  Things like Membership Fees may be different in the new space and I did not account for that.  I did not include any Fundraising, Bike!Bike!, or Merchandise income or expenses.</t>
        </r>
      </text>
    </comment>
    <comment ref="C8" authorId="0">
      <text>
        <r>
          <rPr>
            <b/>
            <sz val="8"/>
            <rFont val="Tahoma"/>
            <family val="0"/>
          </rPr>
          <t>elowrey:</t>
        </r>
        <r>
          <rPr>
            <sz val="8"/>
            <rFont val="Tahoma"/>
            <family val="0"/>
          </rPr>
          <t xml:space="preserve">
I inserted these grey/italics rows to provide more information.  They are not ususally part of an Income Statement.</t>
        </r>
      </text>
    </comment>
  </commentList>
</comments>
</file>

<file path=xl/sharedStrings.xml><?xml version="1.0" encoding="utf-8"?>
<sst xmlns="http://schemas.openxmlformats.org/spreadsheetml/2006/main" count="362" uniqueCount="134">
  <si>
    <t>               </t>
  </si>
  <si>
    <t xml:space="preserve">Revenues </t>
  </si>
  <si>
    <t>   </t>
  </si>
  <si>
    <t>Income</t>
  </si>
  <si>
    <t>Bike!Bike! 2008 Income</t>
  </si>
  <si>
    <t>Admission</t>
  </si>
  <si>
    <t>Merchandise</t>
  </si>
  <si>
    <t>Classes</t>
  </si>
  <si>
    <t>Fundraising Income</t>
  </si>
  <si>
    <t>Interest Income</t>
  </si>
  <si>
    <t>unclassified</t>
  </si>
  <si>
    <t xml:space="preserve">Total Revenue </t>
  </si>
  <si>
    <t xml:space="preserve">Expenses </t>
  </si>
  <si>
    <t>Expenses</t>
  </si>
  <si>
    <t>Admin Expenses</t>
  </si>
  <si>
    <t>Bank Service Charge</t>
  </si>
  <si>
    <t>Bike!Bike! 2008 Expenses</t>
  </si>
  <si>
    <t>Class Expense</t>
  </si>
  <si>
    <t>Computer</t>
  </si>
  <si>
    <t>Facilitiy</t>
  </si>
  <si>
    <t>Fundraising Expenses</t>
  </si>
  <si>
    <t>Liability Insurance</t>
  </si>
  <si>
    <t>Rent</t>
  </si>
  <si>
    <t>Shipping Costs</t>
  </si>
  <si>
    <t>Shop Expenses</t>
  </si>
  <si>
    <t>Consumables</t>
  </si>
  <si>
    <t>Rag Service</t>
  </si>
  <si>
    <t>Tools</t>
  </si>
  <si>
    <t>Unclassified</t>
  </si>
  <si>
    <t>Utilities</t>
  </si>
  <si>
    <t>PG&amp;E</t>
  </si>
  <si>
    <t>Trash</t>
  </si>
  <si>
    <t>Water</t>
  </si>
  <si>
    <t>Volunteer Appreciation</t>
  </si>
  <si>
    <t xml:space="preserve">Total Expenses </t>
  </si>
  <si>
    <t xml:space="preserve">Donations 2006-2007 </t>
  </si>
  <si>
    <t>Net gain (loss) for period</t>
  </si>
  <si>
    <t># of day users @ $5 ea</t>
  </si>
  <si>
    <t># memberships @ $40 ea</t>
  </si>
  <si>
    <t>Payments for SOs</t>
  </si>
  <si>
    <t>SOs</t>
  </si>
  <si>
    <t>difference</t>
  </si>
  <si>
    <t>Average</t>
  </si>
  <si>
    <t>Merchandise Expense</t>
  </si>
  <si>
    <t>Expense</t>
  </si>
  <si>
    <t>Profit</t>
  </si>
  <si>
    <t>Sep</t>
  </si>
  <si>
    <t>Oct</t>
  </si>
  <si>
    <t>Nov</t>
  </si>
  <si>
    <t>Total</t>
  </si>
  <si>
    <t>BPT Confirmation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</si>
  <si>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</si>
  <si>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</si>
  <si>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</si>
  <si>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</si>
  <si>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</si>
  <si>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</si>
  <si>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</si>
  <si>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</si>
  <si>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</si>
  <si>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</si>
  <si>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</si>
  <si>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</si>
  <si>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Tune-up Class</t>
  </si>
  <si>
    <t>WTF</t>
  </si>
  <si>
    <t>Rolling Repair</t>
  </si>
  <si>
    <t>Wheel Building</t>
  </si>
  <si>
    <t>Month</t>
  </si>
  <si>
    <t>Class</t>
  </si>
  <si>
    <t>Amount</t>
  </si>
  <si>
    <t>Special Orders</t>
  </si>
  <si>
    <t>Loss</t>
  </si>
  <si>
    <t>Shipping</t>
  </si>
  <si>
    <t>Net</t>
  </si>
  <si>
    <t>Day Use</t>
  </si>
  <si>
    <t>Membership Fees</t>
  </si>
  <si>
    <t>Parts Sales</t>
  </si>
  <si>
    <t>Bike!Bike!</t>
  </si>
  <si>
    <t>Total Income</t>
  </si>
  <si>
    <t>Bad Debt Expense</t>
  </si>
  <si>
    <t>Membership</t>
  </si>
  <si>
    <t>year average $</t>
  </si>
  <si>
    <t>Aug/Sep average $</t>
  </si>
  <si>
    <t>total memberships per GnuCash</t>
  </si>
  <si>
    <t>year average # per GnuCash</t>
  </si>
  <si>
    <t>year average # per FH</t>
  </si>
  <si>
    <t>total memberships per FH</t>
  </si>
  <si>
    <t>Aug/Sep average # per GnuCash</t>
  </si>
  <si>
    <t>Aug/Sep average # per FH</t>
  </si>
  <si>
    <t>Apr</t>
  </si>
  <si>
    <t>Jun</t>
  </si>
  <si>
    <t>Jul</t>
  </si>
  <si>
    <t>Aug</t>
  </si>
  <si>
    <t>Balance Sheet 12/31/2007</t>
  </si>
  <si>
    <t xml:space="preserve">Assets </t>
  </si>
  <si>
    <t>Assets</t>
  </si>
  <si>
    <t>Deposit on 1256</t>
  </si>
  <si>
    <t>Deposit on 18th&amp;Alabama</t>
  </si>
  <si>
    <t>New Inventory</t>
  </si>
  <si>
    <t>WAMU Checking</t>
  </si>
  <si>
    <t>Bike Bike Fund</t>
  </si>
  <si>
    <t>Total Fundraising</t>
  </si>
  <si>
    <t>WAMU Savings</t>
  </si>
  <si>
    <t>Petty Cash</t>
  </si>
  <si>
    <t xml:space="preserve">Total Assets </t>
  </si>
  <si>
    <t xml:space="preserve">Liabilities </t>
  </si>
  <si>
    <t>Liabilities</t>
  </si>
  <si>
    <t>Accounts Payable</t>
  </si>
  <si>
    <t>Sales Tax Due</t>
  </si>
  <si>
    <t xml:space="preserve">Total Liabilities </t>
  </si>
  <si>
    <t xml:space="preserve">Equity </t>
  </si>
  <si>
    <t>Equity</t>
  </si>
  <si>
    <t>Bike Bike Transfer</t>
  </si>
  <si>
    <t>Opening Balances</t>
  </si>
  <si>
    <t xml:space="preserve">Retained Earnings </t>
  </si>
  <si>
    <t xml:space="preserve">Total Equity </t>
  </si>
  <si>
    <t xml:space="preserve">Total Liabilities &amp; Equity </t>
  </si>
  <si>
    <t>cash</t>
  </si>
  <si>
    <t>Start-up</t>
  </si>
  <si>
    <t>Late Admission</t>
  </si>
  <si>
    <t>Total Sent</t>
  </si>
  <si>
    <t>Fundraising as of 11/30/08</t>
  </si>
  <si>
    <t>Fundraising as of 01/09/09</t>
  </si>
  <si>
    <t>with out fundraising, bike!bike!, merchandise income and expense</t>
  </si>
  <si>
    <t># of day users per FreeHub</t>
  </si>
  <si>
    <t>w/o B!B!, fundraising or merch</t>
  </si>
  <si>
    <t>income</t>
  </si>
  <si>
    <t>expense</t>
  </si>
  <si>
    <t>gain (loss)</t>
  </si>
  <si>
    <t>w/o B!B!, fundraising or merch - smoothed</t>
  </si>
  <si>
    <t>Monthly Projection</t>
  </si>
  <si>
    <t>Outstanding Cost of SOs</t>
  </si>
  <si>
    <t>Income composition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</si>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</sst>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\(0\)"/>
    <numFmt numFmtId="168" formatCode="&quot;$&quot;#,##0"/>
    <numFmt numFmtId="169" formatCode="[$-409]dddd\,\ mmmm\ dd\,\ yyyy"/>
    <numFmt numFmtId="170" formatCode="[$-409]mmm\-yy;@"/>
    <numFmt numFmtId="171" formatCode="&quot;$&quot;#,##0.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name val="Arial Unicode MS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6" fontId="0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6" fontId="0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11" xfId="0" applyBorder="1" applyAlignment="1">
      <alignment/>
    </xf>
    <xf numFmtId="17" fontId="4" fillId="0" borderId="0" xfId="0" applyNumberFormat="1" applyFont="1" applyFill="1" applyBorder="1" applyAlignment="1">
      <alignment/>
    </xf>
    <xf numFmtId="17" fontId="3" fillId="0" borderId="0" xfId="0" applyNumberFormat="1" applyFont="1" applyFill="1" applyAlignment="1">
      <alignment/>
    </xf>
    <xf numFmtId="17" fontId="3" fillId="0" borderId="6" xfId="0" applyNumberFormat="1" applyFont="1" applyFill="1" applyBorder="1" applyAlignment="1">
      <alignment/>
    </xf>
    <xf numFmtId="5" fontId="0" fillId="0" borderId="16" xfId="0" applyNumberFormat="1" applyFont="1" applyFill="1" applyBorder="1" applyAlignment="1">
      <alignment/>
    </xf>
    <xf numFmtId="5" fontId="15" fillId="0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1" fontId="0" fillId="0" borderId="16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2" borderId="14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37" fontId="16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wrapText="1"/>
    </xf>
    <xf numFmtId="0" fontId="17" fillId="0" borderId="0" xfId="0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top"/>
    </xf>
    <xf numFmtId="37" fontId="0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 horizontal="right"/>
    </xf>
    <xf numFmtId="43" fontId="0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 vertical="top"/>
    </xf>
    <xf numFmtId="41" fontId="17" fillId="3" borderId="0" xfId="0" applyNumberFormat="1" applyFont="1" applyFill="1" applyBorder="1" applyAlignment="1">
      <alignment horizontal="right"/>
    </xf>
    <xf numFmtId="41" fontId="18" fillId="3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41" fontId="17" fillId="3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41" fontId="5" fillId="3" borderId="0" xfId="0" applyNumberFormat="1" applyFont="1" applyFill="1" applyBorder="1" applyAlignment="1">
      <alignment horizontal="right"/>
    </xf>
    <xf numFmtId="41" fontId="18" fillId="3" borderId="6" xfId="0" applyNumberFormat="1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41" fontId="16" fillId="0" borderId="0" xfId="0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5" fillId="0" borderId="20" xfId="0" applyNumberFormat="1" applyFont="1" applyFill="1" applyBorder="1" applyAlignment="1">
      <alignment/>
    </xf>
    <xf numFmtId="41" fontId="3" fillId="0" borderId="19" xfId="0" applyNumberFormat="1" applyFont="1" applyFill="1" applyBorder="1" applyAlignment="1">
      <alignment/>
    </xf>
    <xf numFmtId="170" fontId="3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37" fontId="16" fillId="0" borderId="0" xfId="0" applyNumberFormat="1" applyFont="1" applyFill="1" applyBorder="1" applyAlignment="1">
      <alignment wrapText="1"/>
    </xf>
    <xf numFmtId="5" fontId="3" fillId="0" borderId="0" xfId="0" applyNumberFormat="1" applyFont="1" applyFill="1" applyAlignment="1">
      <alignment horizontal="right"/>
    </xf>
    <xf numFmtId="5" fontId="3" fillId="0" borderId="0" xfId="0" applyNumberFormat="1" applyFont="1" applyFill="1" applyAlignment="1">
      <alignment horizontal="right" wrapText="1"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Alignment="1">
      <alignment wrapText="1"/>
    </xf>
    <xf numFmtId="5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/>
    </xf>
    <xf numFmtId="37" fontId="16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Alignment="1">
      <alignment wrapText="1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1" fontId="14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Alignment="1">
      <alignment horizontal="left"/>
    </xf>
    <xf numFmtId="41" fontId="0" fillId="0" borderId="0" xfId="0" applyNumberForma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5" fontId="3" fillId="0" borderId="1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41" fontId="15" fillId="0" borderId="16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1" fontId="0" fillId="0" borderId="16" xfId="0" applyNumberFormat="1" applyFill="1" applyBorder="1" applyAlignment="1">
      <alignment horizontal="right"/>
    </xf>
    <xf numFmtId="41" fontId="15" fillId="0" borderId="16" xfId="0" applyNumberFormat="1" applyFont="1" applyFill="1" applyBorder="1" applyAlignment="1">
      <alignment horizontal="right"/>
    </xf>
    <xf numFmtId="5" fontId="0" fillId="0" borderId="19" xfId="0" applyNumberFormat="1" applyFill="1" applyBorder="1" applyAlignment="1">
      <alignment horizontal="right"/>
    </xf>
    <xf numFmtId="17" fontId="0" fillId="0" borderId="0" xfId="0" applyNumberFormat="1" applyAlignment="1">
      <alignment/>
    </xf>
    <xf numFmtId="43" fontId="0" fillId="0" borderId="0" xfId="0" applyNumberFormat="1" applyAlignment="1">
      <alignment/>
    </xf>
    <xf numFmtId="5" fontId="3" fillId="0" borderId="0" xfId="0" applyNumberFormat="1" applyFont="1" applyFill="1" applyAlignment="1">
      <alignment horizontal="left"/>
    </xf>
    <xf numFmtId="5" fontId="3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right"/>
    </xf>
    <xf numFmtId="41" fontId="0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37" fontId="0" fillId="0" borderId="0" xfId="0" applyNumberFormat="1" applyFont="1" applyFill="1" applyAlignment="1">
      <alignment horizontal="right" wrapText="1"/>
    </xf>
    <xf numFmtId="43" fontId="0" fillId="0" borderId="0" xfId="0" applyNumberFormat="1" applyFont="1" applyFill="1" applyAlignment="1">
      <alignment horizontal="right" wrapText="1"/>
    </xf>
    <xf numFmtId="43" fontId="0" fillId="0" borderId="6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>
      <alignment horizontal="right" wrapText="1"/>
    </xf>
    <xf numFmtId="41" fontId="18" fillId="3" borderId="0" xfId="0" applyNumberFormat="1" applyFont="1" applyFill="1" applyAlignment="1">
      <alignment horizontal="right" wrapText="1"/>
    </xf>
    <xf numFmtId="41" fontId="18" fillId="3" borderId="6" xfId="0" applyNumberFormat="1" applyFont="1" applyFill="1" applyBorder="1" applyAlignment="1">
      <alignment horizontal="right" wrapText="1"/>
    </xf>
    <xf numFmtId="41" fontId="0" fillId="0" borderId="0" xfId="0" applyNumberFormat="1" applyFont="1" applyFill="1" applyAlignment="1">
      <alignment horizontal="right" wrapText="1"/>
    </xf>
    <xf numFmtId="41" fontId="0" fillId="0" borderId="6" xfId="0" applyNumberFormat="1" applyFont="1" applyFill="1" applyBorder="1" applyAlignment="1">
      <alignment horizontal="right" wrapText="1"/>
    </xf>
    <xf numFmtId="5" fontId="3" fillId="0" borderId="0" xfId="0" applyNumberFormat="1" applyFont="1" applyFill="1" applyBorder="1" applyAlignment="1">
      <alignment horizontal="right"/>
    </xf>
    <xf numFmtId="5" fontId="3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8" fontId="0" fillId="0" borderId="0" xfId="0" applyNumberFormat="1" applyFont="1" applyFill="1" applyAlignment="1">
      <alignment horizontal="right" wrapText="1"/>
    </xf>
    <xf numFmtId="8" fontId="0" fillId="0" borderId="6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/>
    </xf>
    <xf numFmtId="4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41" fontId="5" fillId="0" borderId="6" xfId="0" applyNumberFormat="1" applyFont="1" applyFill="1" applyBorder="1" applyAlignment="1">
      <alignment horizontal="right"/>
    </xf>
    <xf numFmtId="37" fontId="5" fillId="0" borderId="6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 horizontal="right"/>
    </xf>
    <xf numFmtId="5" fontId="4" fillId="0" borderId="6" xfId="0" applyNumberFormat="1" applyFont="1" applyFill="1" applyBorder="1" applyAlignment="1">
      <alignment horizontal="right"/>
    </xf>
    <xf numFmtId="5" fontId="3" fillId="0" borderId="2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3" fontId="0" fillId="3" borderId="23" xfId="0" applyNumberFormat="1" applyFont="1" applyFill="1" applyBorder="1" applyAlignment="1">
      <alignment horizontal="right"/>
    </xf>
    <xf numFmtId="3" fontId="18" fillId="3" borderId="23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 horizontal="left" vertical="top" wrapText="1"/>
    </xf>
    <xf numFmtId="37" fontId="0" fillId="0" borderId="6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/>
    </xf>
    <xf numFmtId="37" fontId="18" fillId="3" borderId="6" xfId="0" applyNumberFormat="1" applyFont="1" applyFill="1" applyBorder="1" applyAlignment="1">
      <alignment/>
    </xf>
    <xf numFmtId="5" fontId="3" fillId="0" borderId="6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left" vertical="top" wrapText="1"/>
    </xf>
    <xf numFmtId="3" fontId="5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8" fontId="3" fillId="0" borderId="0" xfId="0" applyNumberFormat="1" applyFont="1" applyFill="1" applyAlignment="1">
      <alignment horizontal="left"/>
    </xf>
    <xf numFmtId="168" fontId="3" fillId="0" borderId="0" xfId="0" applyNumberFormat="1" applyFont="1" applyAlignment="1">
      <alignment/>
    </xf>
    <xf numFmtId="168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Fill="1" applyBorder="1" applyAlignment="1">
      <alignment/>
    </xf>
    <xf numFmtId="3" fontId="18" fillId="3" borderId="0" xfId="0" applyNumberFormat="1" applyFont="1" applyFill="1" applyAlignment="1">
      <alignment horizontal="left" vertical="top"/>
    </xf>
    <xf numFmtId="0" fontId="18" fillId="3" borderId="0" xfId="0" applyFont="1" applyFill="1" applyAlignment="1">
      <alignment horizontal="left" vertical="top"/>
    </xf>
    <xf numFmtId="5" fontId="3" fillId="0" borderId="6" xfId="0" applyNumberFormat="1" applyFont="1" applyFill="1" applyBorder="1" applyAlignment="1">
      <alignment horizontal="right" vertical="top" wrapText="1"/>
    </xf>
    <xf numFmtId="5" fontId="3" fillId="0" borderId="6" xfId="0" applyNumberFormat="1" applyFont="1" applyFill="1" applyBorder="1" applyAlignment="1">
      <alignment horizontal="right"/>
    </xf>
    <xf numFmtId="5" fontId="4" fillId="0" borderId="23" xfId="0" applyNumberFormat="1" applyFont="1" applyFill="1" applyBorder="1" applyAlignment="1">
      <alignment/>
    </xf>
    <xf numFmtId="5" fontId="0" fillId="0" borderId="6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2007 &amp; 2008 Membership Fees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Analysis'!$D$15:$O$15</c:f>
              <c:numCache>
                <c:ptCount val="12"/>
                <c:pt idx="0">
                  <c:v>965</c:v>
                </c:pt>
                <c:pt idx="1">
                  <c:v>1091</c:v>
                </c:pt>
                <c:pt idx="2">
                  <c:v>997</c:v>
                </c:pt>
                <c:pt idx="3">
                  <c:v>1460</c:v>
                </c:pt>
                <c:pt idx="4">
                  <c:v>1189</c:v>
                </c:pt>
                <c:pt idx="5">
                  <c:v>1434</c:v>
                </c:pt>
                <c:pt idx="6">
                  <c:v>1577</c:v>
                </c:pt>
                <c:pt idx="7">
                  <c:v>1698.14</c:v>
                </c:pt>
                <c:pt idx="8">
                  <c:v>2314.76</c:v>
                </c:pt>
                <c:pt idx="9">
                  <c:v>2066.79</c:v>
                </c:pt>
                <c:pt idx="10">
                  <c:v>1749.35</c:v>
                </c:pt>
                <c:pt idx="11">
                  <c:v>803.23</c:v>
                </c:pt>
              </c:numCache>
            </c:numRef>
          </c:val>
          <c:smooth val="0"/>
        </c:ser>
        <c:ser>
          <c:idx val="1"/>
          <c:order val="1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'[1]Aug 07 IS'!$D$15:$O$15</c:f>
              <c:numCache>
                <c:ptCount val="12"/>
                <c:pt idx="0">
                  <c:v>532</c:v>
                </c:pt>
                <c:pt idx="1">
                  <c:v>795</c:v>
                </c:pt>
                <c:pt idx="2">
                  <c:v>947</c:v>
                </c:pt>
                <c:pt idx="3">
                  <c:v>1075.06</c:v>
                </c:pt>
                <c:pt idx="4">
                  <c:v>1175</c:v>
                </c:pt>
                <c:pt idx="5">
                  <c:v>1302</c:v>
                </c:pt>
                <c:pt idx="6">
                  <c:v>1418</c:v>
                </c:pt>
                <c:pt idx="7">
                  <c:v>871</c:v>
                </c:pt>
                <c:pt idx="8">
                  <c:v>2045</c:v>
                </c:pt>
                <c:pt idx="9">
                  <c:v>1563.91</c:v>
                </c:pt>
                <c:pt idx="10">
                  <c:v>1230</c:v>
                </c:pt>
                <c:pt idx="11">
                  <c:v>1507</c:v>
                </c:pt>
              </c:numCache>
            </c:numRef>
          </c:val>
          <c:smooth val="0"/>
        </c:ser>
        <c:marker val="1"/>
        <c:axId val="20655832"/>
        <c:axId val="90361"/>
      </c:lineChart>
      <c:dateAx>
        <c:axId val="2065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361"/>
        <c:crosses val="autoZero"/>
        <c:auto val="0"/>
        <c:noMultiLvlLbl val="0"/>
      </c:dateAx>
      <c:valAx>
        <c:axId val="90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583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2007 &amp; 2008 Day Use Fees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Analysis'!$D$9:$O$9</c:f>
              <c:numCache>
                <c:ptCount val="12"/>
                <c:pt idx="0">
                  <c:v>325</c:v>
                </c:pt>
                <c:pt idx="1">
                  <c:v>526</c:v>
                </c:pt>
                <c:pt idx="2">
                  <c:v>574</c:v>
                </c:pt>
                <c:pt idx="3">
                  <c:v>598</c:v>
                </c:pt>
                <c:pt idx="4">
                  <c:v>418</c:v>
                </c:pt>
                <c:pt idx="5">
                  <c:v>396</c:v>
                </c:pt>
                <c:pt idx="6">
                  <c:v>510</c:v>
                </c:pt>
                <c:pt idx="7">
                  <c:v>1032.68</c:v>
                </c:pt>
                <c:pt idx="8">
                  <c:v>805.04</c:v>
                </c:pt>
                <c:pt idx="9">
                  <c:v>470.34</c:v>
                </c:pt>
                <c:pt idx="10">
                  <c:v>455.46</c:v>
                </c:pt>
                <c:pt idx="11">
                  <c:v>475.27</c:v>
                </c:pt>
              </c:numCache>
            </c:numRef>
          </c:val>
          <c:smooth val="0"/>
        </c:ser>
        <c:ser>
          <c:idx val="1"/>
          <c:order val="1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'[1]Aug 07 IS'!$D$10:$O$10</c:f>
              <c:numCache>
                <c:ptCount val="12"/>
                <c:pt idx="0">
                  <c:v>260</c:v>
                </c:pt>
                <c:pt idx="1">
                  <c:v>300</c:v>
                </c:pt>
                <c:pt idx="2">
                  <c:v>300.23</c:v>
                </c:pt>
                <c:pt idx="3">
                  <c:v>451</c:v>
                </c:pt>
                <c:pt idx="4">
                  <c:v>589</c:v>
                </c:pt>
                <c:pt idx="5">
                  <c:v>536.49</c:v>
                </c:pt>
                <c:pt idx="6">
                  <c:v>651</c:v>
                </c:pt>
                <c:pt idx="7">
                  <c:v>434</c:v>
                </c:pt>
                <c:pt idx="8">
                  <c:v>549</c:v>
                </c:pt>
                <c:pt idx="9">
                  <c:v>685.5</c:v>
                </c:pt>
                <c:pt idx="10">
                  <c:v>304</c:v>
                </c:pt>
                <c:pt idx="11">
                  <c:v>580</c:v>
                </c:pt>
              </c:numCache>
            </c:numRef>
          </c:val>
          <c:smooth val="0"/>
        </c:ser>
        <c:marker val="1"/>
        <c:axId val="1174694"/>
        <c:axId val="15271023"/>
      </c:lineChart>
      <c:dateAx>
        <c:axId val="117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71023"/>
        <c:crosses val="autoZero"/>
        <c:auto val="0"/>
        <c:noMultiLvlLbl val="0"/>
      </c:dateAx>
      <c:valAx>
        <c:axId val="15271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46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Special Order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Special Order Profit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Analysis'!$G$1:$O$1</c:f>
              <c:strCache>
                <c:ptCount val="9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</c:strCache>
            </c:strRef>
          </c:cat>
          <c:val>
            <c:numRef>
              <c:f>'FYE Nov 2008 IS Analysis'!$G$19:$O$19</c:f>
              <c:numCache>
                <c:ptCount val="9"/>
                <c:pt idx="0">
                  <c:v>16.38</c:v>
                </c:pt>
                <c:pt idx="1">
                  <c:v>32.59</c:v>
                </c:pt>
                <c:pt idx="2">
                  <c:v>43.32</c:v>
                </c:pt>
                <c:pt idx="3">
                  <c:v>112.68</c:v>
                </c:pt>
                <c:pt idx="4">
                  <c:v>102.26</c:v>
                </c:pt>
                <c:pt idx="5">
                  <c:v>20.33</c:v>
                </c:pt>
                <c:pt idx="6">
                  <c:v>25.88</c:v>
                </c:pt>
                <c:pt idx="7">
                  <c:v>15.36</c:v>
                </c:pt>
                <c:pt idx="8">
                  <c:v>36.18</c:v>
                </c:pt>
              </c:numCache>
            </c:numRef>
          </c:val>
          <c:smooth val="0"/>
        </c:ser>
        <c:ser>
          <c:idx val="1"/>
          <c:order val="1"/>
          <c:tx>
            <c:v>Special Orders Placed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Analysis'!$G$1:$O$1</c:f>
              <c:strCache>
                <c:ptCount val="9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</c:strCache>
            </c:strRef>
          </c:cat>
          <c:val>
            <c:numRef>
              <c:f>'FYE Nov 2008 IS Analysis'!$G$20:$O$20</c:f>
              <c:numCache>
                <c:ptCount val="9"/>
                <c:pt idx="0">
                  <c:v>647.59</c:v>
                </c:pt>
                <c:pt idx="1">
                  <c:v>765.47</c:v>
                </c:pt>
                <c:pt idx="2">
                  <c:v>1221.5</c:v>
                </c:pt>
                <c:pt idx="3">
                  <c:v>1548.34</c:v>
                </c:pt>
                <c:pt idx="4">
                  <c:v>1270.86</c:v>
                </c:pt>
                <c:pt idx="5">
                  <c:v>503.59</c:v>
                </c:pt>
                <c:pt idx="6">
                  <c:v>598.7</c:v>
                </c:pt>
                <c:pt idx="7">
                  <c:v>403.13</c:v>
                </c:pt>
                <c:pt idx="8">
                  <c:v>389.26</c:v>
                </c:pt>
              </c:numCache>
            </c:numRef>
          </c:val>
          <c:smooth val="0"/>
        </c:ser>
        <c:ser>
          <c:idx val="2"/>
          <c:order val="2"/>
          <c:tx>
            <c:v>Special Orders Paid For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Analysis'!$G$1:$O$1</c:f>
              <c:strCache>
                <c:ptCount val="9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</c:strCache>
            </c:strRef>
          </c:cat>
          <c:val>
            <c:numRef>
              <c:f>'FYE Nov 2008 IS Analysis'!$G$21:$O$21</c:f>
              <c:numCache>
                <c:ptCount val="9"/>
                <c:pt idx="0">
                  <c:v>490.29</c:v>
                </c:pt>
                <c:pt idx="1">
                  <c:v>582.17</c:v>
                </c:pt>
                <c:pt idx="2">
                  <c:v>1114.62</c:v>
                </c:pt>
                <c:pt idx="3">
                  <c:v>1977.28</c:v>
                </c:pt>
                <c:pt idx="4">
                  <c:v>1201.26</c:v>
                </c:pt>
                <c:pt idx="5">
                  <c:v>411.92</c:v>
                </c:pt>
                <c:pt idx="6">
                  <c:v>459.67</c:v>
                </c:pt>
                <c:pt idx="7">
                  <c:v>375.13</c:v>
                </c:pt>
                <c:pt idx="8">
                  <c:v>636.92</c:v>
                </c:pt>
              </c:numCache>
            </c:numRef>
          </c:val>
          <c:smooth val="0"/>
        </c:ser>
        <c:marker val="1"/>
        <c:axId val="64305572"/>
        <c:axId val="30666069"/>
      </c:lineChart>
      <c:dateAx>
        <c:axId val="643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66069"/>
        <c:crosses val="autoZero"/>
        <c:auto val="0"/>
        <c:noMultiLvlLbl val="0"/>
      </c:dateAx>
      <c:valAx>
        <c:axId val="306660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5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Merchandise Income &amp; Expense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Tables!$B$1:$I$1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</c:strCache>
            </c:strRef>
          </c:cat>
          <c:val>
            <c:numRef>
              <c:f>Tables!$B$3:$I$3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80.46</c:v>
                </c:pt>
                <c:pt idx="4">
                  <c:v>0</c:v>
                </c:pt>
                <c:pt idx="5">
                  <c:v>1673</c:v>
                </c:pt>
                <c:pt idx="6">
                  <c:v>161.91</c:v>
                </c:pt>
                <c:pt idx="7">
                  <c:v>715</c:v>
                </c:pt>
              </c:numCache>
            </c:numRef>
          </c:val>
        </c:ser>
        <c:ser>
          <c:idx val="1"/>
          <c:order val="1"/>
          <c:tx>
            <c:v>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Tables!$B$1:$I$1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</c:strCache>
            </c:strRef>
          </c:cat>
          <c:val>
            <c:numRef>
              <c:f>Tables!$B$2:$I$2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574.03</c:v>
                </c:pt>
                <c:pt idx="6">
                  <c:v>188.34</c:v>
                </c:pt>
                <c:pt idx="7">
                  <c:v>36.72</c:v>
                </c:pt>
              </c:numCache>
            </c:numRef>
          </c:val>
        </c:ser>
        <c:axId val="63114578"/>
        <c:axId val="15183147"/>
      </c:barChart>
      <c:catAx>
        <c:axId val="6311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83147"/>
        <c:crosses val="autoZero"/>
        <c:auto val="1"/>
        <c:lblOffset val="100"/>
        <c:noMultiLvlLbl val="0"/>
      </c:catAx>
      <c:valAx>
        <c:axId val="15183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14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'FYE Nov 2008 IS Analysis'!$C$41</c:f>
              <c:strCache>
                <c:ptCount val="1"/>
                <c:pt idx="0">
                  <c:v>Consumables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Analysis'!$D$41:$O$41</c:f>
              <c:numCache>
                <c:ptCount val="12"/>
                <c:pt idx="0">
                  <c:v>161.24</c:v>
                </c:pt>
                <c:pt idx="1">
                  <c:v>74.12</c:v>
                </c:pt>
                <c:pt idx="2">
                  <c:v>115.5</c:v>
                </c:pt>
                <c:pt idx="3">
                  <c:v>99.46</c:v>
                </c:pt>
                <c:pt idx="4">
                  <c:v>99.33</c:v>
                </c:pt>
                <c:pt idx="5">
                  <c:v>98.82</c:v>
                </c:pt>
                <c:pt idx="6">
                  <c:v>105.39</c:v>
                </c:pt>
                <c:pt idx="7">
                  <c:v>72.92</c:v>
                </c:pt>
                <c:pt idx="8">
                  <c:v>145.38</c:v>
                </c:pt>
                <c:pt idx="9">
                  <c:v>241.26</c:v>
                </c:pt>
                <c:pt idx="10">
                  <c:v>164.4</c:v>
                </c:pt>
                <c:pt idx="11">
                  <c:v>40.5</c:v>
                </c:pt>
              </c:numCache>
            </c:numRef>
          </c:val>
          <c:smooth val="0"/>
        </c:ser>
        <c:marker val="1"/>
        <c:axId val="63163184"/>
        <c:axId val="15815025"/>
      </c:lineChart>
      <c:dateAx>
        <c:axId val="6316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15025"/>
        <c:crosses val="autoZero"/>
        <c:auto val="0"/>
        <c:noMultiLvlLbl val="0"/>
      </c:dateAx>
      <c:valAx>
        <c:axId val="15815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3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Cash Composition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Checking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BS Analysis'!$D$3:$O$3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BS Analysis'!$D$10:$O$10</c:f>
              <c:numCache>
                <c:ptCount val="12"/>
                <c:pt idx="0">
                  <c:v>15027.52</c:v>
                </c:pt>
                <c:pt idx="1">
                  <c:v>13771.91</c:v>
                </c:pt>
                <c:pt idx="2">
                  <c:v>13842.2</c:v>
                </c:pt>
                <c:pt idx="3">
                  <c:v>14170.96</c:v>
                </c:pt>
                <c:pt idx="4">
                  <c:v>16812.02</c:v>
                </c:pt>
                <c:pt idx="5">
                  <c:v>18733.45</c:v>
                </c:pt>
                <c:pt idx="6">
                  <c:v>18571.18</c:v>
                </c:pt>
                <c:pt idx="7">
                  <c:v>19875.05</c:v>
                </c:pt>
                <c:pt idx="8">
                  <c:v>22516.74</c:v>
                </c:pt>
                <c:pt idx="9">
                  <c:v>21790.09</c:v>
                </c:pt>
                <c:pt idx="10">
                  <c:v>9366.59</c:v>
                </c:pt>
                <c:pt idx="11">
                  <c:v>8580.48</c:v>
                </c:pt>
              </c:numCache>
            </c:numRef>
          </c:val>
        </c:ser>
        <c:ser>
          <c:idx val="1"/>
          <c:order val="1"/>
          <c:tx>
            <c:v>Savings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BS Analysis'!$D$3:$O$3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BS Analysis'!$D$13:$O$13</c:f>
              <c:numCache>
                <c:ptCount val="12"/>
                <c:pt idx="0">
                  <c:v>7518.8</c:v>
                </c:pt>
                <c:pt idx="1">
                  <c:v>7519.75</c:v>
                </c:pt>
                <c:pt idx="2">
                  <c:v>7520.64</c:v>
                </c:pt>
                <c:pt idx="3">
                  <c:v>7521.6</c:v>
                </c:pt>
                <c:pt idx="4">
                  <c:v>7522.52</c:v>
                </c:pt>
                <c:pt idx="5">
                  <c:v>7523.48</c:v>
                </c:pt>
                <c:pt idx="6">
                  <c:v>7524.41</c:v>
                </c:pt>
                <c:pt idx="7">
                  <c:v>7525.36</c:v>
                </c:pt>
                <c:pt idx="8">
                  <c:v>7526.32</c:v>
                </c:pt>
                <c:pt idx="9">
                  <c:v>7747.25</c:v>
                </c:pt>
                <c:pt idx="10">
                  <c:v>16315.24</c:v>
                </c:pt>
                <c:pt idx="11">
                  <c:v>16321.93</c:v>
                </c:pt>
              </c:numCache>
            </c:numRef>
          </c:val>
        </c:ser>
        <c:ser>
          <c:idx val="2"/>
          <c:order val="2"/>
          <c:tx>
            <c:v>Fundraising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BS Analysis'!$D$3:$O$3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BS Analysis'!$D$12:$O$12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269</c:v>
                </c:pt>
                <c:pt idx="6">
                  <c:v>269</c:v>
                </c:pt>
                <c:pt idx="7">
                  <c:v>268.85</c:v>
                </c:pt>
                <c:pt idx="8">
                  <c:v>1137.93</c:v>
                </c:pt>
                <c:pt idx="9">
                  <c:v>12.45</c:v>
                </c:pt>
                <c:pt idx="10">
                  <c:v>17219.96</c:v>
                </c:pt>
                <c:pt idx="11">
                  <c:v>21482.38</c:v>
                </c:pt>
              </c:numCache>
            </c:numRef>
          </c:val>
        </c:ser>
        <c:ser>
          <c:idx val="3"/>
          <c:order val="3"/>
          <c:tx>
            <c:v>Bike!Bike!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BS Analysis'!$D$3:$O$3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BS Analysis'!$D$11:$O$11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500</c:v>
                </c:pt>
                <c:pt idx="9">
                  <c:v>815</c:v>
                </c:pt>
                <c:pt idx="10">
                  <c:v>4814.66</c:v>
                </c:pt>
                <c:pt idx="11">
                  <c:v>4776.66</c:v>
                </c:pt>
              </c:numCache>
            </c:numRef>
          </c:val>
        </c:ser>
        <c:overlap val="100"/>
        <c:axId val="4268734"/>
        <c:axId val="55493543"/>
      </c:barChart>
      <c:catAx>
        <c:axId val="426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3543"/>
        <c:crosses val="autoZero"/>
        <c:auto val="1"/>
        <c:lblOffset val="100"/>
        <c:noMultiLvlLbl val="0"/>
      </c:catAx>
      <c:valAx>
        <c:axId val="55493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8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Operating Income/Expense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Income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Tables!$B$60:$M$60</c:f>
              <c:numCache>
                <c:ptCount val="12"/>
              </c:numCache>
            </c:numRef>
          </c:cat>
          <c:val>
            <c:numRef>
              <c:f>'FYE Nov 2008 IS Analysis'!$D$55:$O$55</c:f>
              <c:numCache>
                <c:ptCount val="12"/>
                <c:pt idx="0">
                  <c:v>1541.2</c:v>
                </c:pt>
                <c:pt idx="1">
                  <c:v>2810.79</c:v>
                </c:pt>
                <c:pt idx="2">
                  <c:v>2529.34</c:v>
                </c:pt>
                <c:pt idx="3">
                  <c:v>2678.88</c:v>
                </c:pt>
                <c:pt idx="4">
                  <c:v>2932.51</c:v>
                </c:pt>
                <c:pt idx="5">
                  <c:v>3676.67</c:v>
                </c:pt>
                <c:pt idx="6">
                  <c:v>3379.9900000000002</c:v>
                </c:pt>
                <c:pt idx="7">
                  <c:v>3585.120000000001</c:v>
                </c:pt>
                <c:pt idx="8">
                  <c:v>4988.39</c:v>
                </c:pt>
                <c:pt idx="9">
                  <c:v>2790.75</c:v>
                </c:pt>
                <c:pt idx="10">
                  <c:v>4271.62</c:v>
                </c:pt>
                <c:pt idx="11">
                  <c:v>1697.71</c:v>
                </c:pt>
              </c:numCache>
            </c:numRef>
          </c:val>
          <c:smooth val="0"/>
        </c:ser>
        <c:ser>
          <c:idx val="1"/>
          <c:order val="1"/>
          <c:tx>
            <c:v>Expense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Tables!$B$60:$M$60</c:f>
              <c:numCache>
                <c:ptCount val="12"/>
              </c:numCache>
            </c:numRef>
          </c:cat>
          <c:val>
            <c:numRef>
              <c:f>'FYE Nov 2008 IS Analysis'!$D$56:$O$56</c:f>
              <c:numCache>
                <c:ptCount val="12"/>
                <c:pt idx="0">
                  <c:v>2873.12</c:v>
                </c:pt>
                <c:pt idx="1">
                  <c:v>3075.05</c:v>
                </c:pt>
                <c:pt idx="2">
                  <c:v>2779.6000000000004</c:v>
                </c:pt>
                <c:pt idx="3">
                  <c:v>2284.3</c:v>
                </c:pt>
                <c:pt idx="4">
                  <c:v>2212.33</c:v>
                </c:pt>
                <c:pt idx="5">
                  <c:v>1817.4399999999998</c:v>
                </c:pt>
                <c:pt idx="6">
                  <c:v>4227.959999999999</c:v>
                </c:pt>
                <c:pt idx="7">
                  <c:v>2313.35</c:v>
                </c:pt>
                <c:pt idx="8">
                  <c:v>2383.05</c:v>
                </c:pt>
                <c:pt idx="9">
                  <c:v>2225.5699999999997</c:v>
                </c:pt>
                <c:pt idx="10">
                  <c:v>2417.9900000000002</c:v>
                </c:pt>
                <c:pt idx="11">
                  <c:v>2257.71</c:v>
                </c:pt>
              </c:numCache>
            </c:numRef>
          </c:val>
          <c:smooth val="0"/>
        </c:ser>
        <c:ser>
          <c:idx val="2"/>
          <c:order val="2"/>
          <c:tx>
            <c:v>Profit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Tables!$B$60:$M$60</c:f>
              <c:numCache>
                <c:ptCount val="12"/>
              </c:numCache>
            </c:numRef>
          </c:cat>
          <c:val>
            <c:numRef>
              <c:f>'FYE Nov 2008 IS Analysis'!$D$57:$O$57</c:f>
              <c:numCache>
                <c:ptCount val="12"/>
                <c:pt idx="0">
                  <c:v>-1331.9199999999998</c:v>
                </c:pt>
                <c:pt idx="1">
                  <c:v>-264.2600000000002</c:v>
                </c:pt>
                <c:pt idx="2">
                  <c:v>-250.26000000000022</c:v>
                </c:pt>
                <c:pt idx="3">
                  <c:v>394.5799999999999</c:v>
                </c:pt>
                <c:pt idx="4">
                  <c:v>720.1800000000003</c:v>
                </c:pt>
                <c:pt idx="5">
                  <c:v>1859.2300000000002</c:v>
                </c:pt>
                <c:pt idx="6">
                  <c:v>-847.9699999999989</c:v>
                </c:pt>
                <c:pt idx="7">
                  <c:v>1271.770000000001</c:v>
                </c:pt>
                <c:pt idx="8">
                  <c:v>2605.34</c:v>
                </c:pt>
                <c:pt idx="9">
                  <c:v>565.1800000000003</c:v>
                </c:pt>
                <c:pt idx="10">
                  <c:v>1853.6299999999997</c:v>
                </c:pt>
                <c:pt idx="11">
                  <c:v>-560</c:v>
                </c:pt>
              </c:numCache>
            </c:numRef>
          </c:val>
          <c:smooth val="0"/>
        </c:ser>
        <c:marker val="1"/>
        <c:axId val="50327420"/>
        <c:axId val="50276685"/>
      </c:lineChart>
      <c:catAx>
        <c:axId val="5032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6685"/>
        <c:crosses val="autoZero"/>
        <c:auto val="1"/>
        <c:lblOffset val="100"/>
        <c:noMultiLvlLbl val="0"/>
      </c:catAx>
      <c:valAx>
        <c:axId val="5027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7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Operating Income/Expense smoothed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Income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Tables!$B$66:$M$66</c:f>
              <c:numCache>
                <c:ptCount val="12"/>
              </c:numCache>
            </c:numRef>
          </c:cat>
          <c:val>
            <c:numRef>
              <c:f>'FYE Nov 2008 IS Analysis'!$D$60:$O$60</c:f>
              <c:numCache>
                <c:ptCount val="12"/>
                <c:pt idx="0">
                  <c:v>1541.2</c:v>
                </c:pt>
                <c:pt idx="1">
                  <c:v>2810.79</c:v>
                </c:pt>
                <c:pt idx="2">
                  <c:v>2529.34</c:v>
                </c:pt>
                <c:pt idx="3">
                  <c:v>2678.88</c:v>
                </c:pt>
                <c:pt idx="4">
                  <c:v>2932.51</c:v>
                </c:pt>
                <c:pt idx="5">
                  <c:v>3676.67</c:v>
                </c:pt>
                <c:pt idx="6">
                  <c:v>3379.9900000000002</c:v>
                </c:pt>
                <c:pt idx="7">
                  <c:v>3585.120000000001</c:v>
                </c:pt>
                <c:pt idx="8">
                  <c:v>4988.39</c:v>
                </c:pt>
                <c:pt idx="9">
                  <c:v>2790.75</c:v>
                </c:pt>
                <c:pt idx="10">
                  <c:v>4271.62</c:v>
                </c:pt>
                <c:pt idx="11">
                  <c:v>1697.71</c:v>
                </c:pt>
              </c:numCache>
            </c:numRef>
          </c:val>
          <c:smooth val="0"/>
        </c:ser>
        <c:ser>
          <c:idx val="1"/>
          <c:order val="1"/>
          <c:tx>
            <c:v>Expense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Tables!$B$66:$M$66</c:f>
              <c:numCache>
                <c:ptCount val="12"/>
              </c:numCache>
            </c:numRef>
          </c:cat>
          <c:val>
            <c:numRef>
              <c:f>'FYE Nov 2008 IS Analysis'!$D$61:$O$61</c:f>
              <c:numCache>
                <c:ptCount val="12"/>
                <c:pt idx="0">
                  <c:v>2895.1525</c:v>
                </c:pt>
                <c:pt idx="1">
                  <c:v>2921.2525</c:v>
                </c:pt>
                <c:pt idx="2">
                  <c:v>2822.7025000000003</c:v>
                </c:pt>
                <c:pt idx="3">
                  <c:v>2327.4025</c:v>
                </c:pt>
                <c:pt idx="4">
                  <c:v>2255.4325</c:v>
                </c:pt>
                <c:pt idx="5">
                  <c:v>1981.9924999999998</c:v>
                </c:pt>
                <c:pt idx="6">
                  <c:v>2592.5125000000003</c:v>
                </c:pt>
                <c:pt idx="7">
                  <c:v>2477.9025</c:v>
                </c:pt>
                <c:pt idx="8">
                  <c:v>2547.6025</c:v>
                </c:pt>
                <c:pt idx="9">
                  <c:v>2390.1225000000004</c:v>
                </c:pt>
                <c:pt idx="10">
                  <c:v>2582.5425000000005</c:v>
                </c:pt>
                <c:pt idx="11">
                  <c:v>2323.0825</c:v>
                </c:pt>
              </c:numCache>
            </c:numRef>
          </c:val>
          <c:smooth val="0"/>
        </c:ser>
        <c:ser>
          <c:idx val="2"/>
          <c:order val="2"/>
          <c:tx>
            <c:v>Profit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Tables!$B$66:$M$66</c:f>
              <c:numCache>
                <c:ptCount val="12"/>
              </c:numCache>
            </c:numRef>
          </c:cat>
          <c:val>
            <c:numRef>
              <c:f>'FYE Nov 2008 IS Analysis'!$D$62:$O$62</c:f>
              <c:numCache>
                <c:ptCount val="12"/>
                <c:pt idx="0">
                  <c:v>-1353.9525</c:v>
                </c:pt>
                <c:pt idx="1">
                  <c:v>-110.46250000000009</c:v>
                </c:pt>
                <c:pt idx="2">
                  <c:v>-293.3625000000002</c:v>
                </c:pt>
                <c:pt idx="3">
                  <c:v>351.47749999999996</c:v>
                </c:pt>
                <c:pt idx="4">
                  <c:v>677.0775000000003</c:v>
                </c:pt>
                <c:pt idx="5">
                  <c:v>1694.6775000000002</c:v>
                </c:pt>
                <c:pt idx="6">
                  <c:v>787.4775</c:v>
                </c:pt>
                <c:pt idx="7">
                  <c:v>1107.2175000000007</c:v>
                </c:pt>
                <c:pt idx="8">
                  <c:v>2440.7875000000004</c:v>
                </c:pt>
                <c:pt idx="9">
                  <c:v>400.6274999999996</c:v>
                </c:pt>
                <c:pt idx="10">
                  <c:v>1689.0774999999994</c:v>
                </c:pt>
                <c:pt idx="11">
                  <c:v>-625.3725</c:v>
                </c:pt>
              </c:numCache>
            </c:numRef>
          </c:val>
          <c:smooth val="0"/>
        </c:ser>
        <c:marker val="1"/>
        <c:axId val="49617130"/>
        <c:axId val="41042915"/>
      </c:lineChart>
      <c:catAx>
        <c:axId val="49617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42915"/>
        <c:crosses val="autoZero"/>
        <c:auto val="1"/>
        <c:lblOffset val="100"/>
        <c:noMultiLvlLbl val="0"/>
      </c:catAx>
      <c:valAx>
        <c:axId val="4104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7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Composition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'FYE Nov 2008 IS Analysis'!$C$65</c:f>
              <c:strCache>
                <c:ptCount val="1"/>
                <c:pt idx="0">
                  <c:v>Membership Fees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Analysis'!$D$65:$O$65</c:f>
              <c:numCache>
                <c:ptCount val="12"/>
                <c:pt idx="0">
                  <c:v>965</c:v>
                </c:pt>
                <c:pt idx="1">
                  <c:v>1091</c:v>
                </c:pt>
                <c:pt idx="2">
                  <c:v>997</c:v>
                </c:pt>
                <c:pt idx="3">
                  <c:v>1460</c:v>
                </c:pt>
                <c:pt idx="4">
                  <c:v>1189</c:v>
                </c:pt>
                <c:pt idx="5">
                  <c:v>1434</c:v>
                </c:pt>
                <c:pt idx="6">
                  <c:v>1577</c:v>
                </c:pt>
                <c:pt idx="7">
                  <c:v>1698.14</c:v>
                </c:pt>
                <c:pt idx="8">
                  <c:v>2314.76</c:v>
                </c:pt>
                <c:pt idx="9">
                  <c:v>2066.79</c:v>
                </c:pt>
                <c:pt idx="10">
                  <c:v>1749.35</c:v>
                </c:pt>
                <c:pt idx="11">
                  <c:v>803.23</c:v>
                </c:pt>
              </c:numCache>
            </c:numRef>
          </c:val>
        </c:ser>
        <c:ser>
          <c:idx val="1"/>
          <c:order val="1"/>
          <c:tx>
            <c:strRef>
              <c:f>'FYE Nov 2008 IS Analysis'!$C$66</c:f>
              <c:strCache>
                <c:ptCount val="1"/>
                <c:pt idx="0">
                  <c:v>Day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Analysis'!$D$66:$O$66</c:f>
              <c:numCache>
                <c:ptCount val="12"/>
                <c:pt idx="0">
                  <c:v>325</c:v>
                </c:pt>
                <c:pt idx="1">
                  <c:v>526</c:v>
                </c:pt>
                <c:pt idx="2">
                  <c:v>574</c:v>
                </c:pt>
                <c:pt idx="3">
                  <c:v>598</c:v>
                </c:pt>
                <c:pt idx="4">
                  <c:v>418</c:v>
                </c:pt>
                <c:pt idx="5">
                  <c:v>396</c:v>
                </c:pt>
                <c:pt idx="6">
                  <c:v>510</c:v>
                </c:pt>
                <c:pt idx="7">
                  <c:v>1032.68</c:v>
                </c:pt>
                <c:pt idx="8">
                  <c:v>805.04</c:v>
                </c:pt>
                <c:pt idx="9">
                  <c:v>470.34</c:v>
                </c:pt>
                <c:pt idx="10">
                  <c:v>455.46</c:v>
                </c:pt>
                <c:pt idx="11">
                  <c:v>475.27</c:v>
                </c:pt>
              </c:numCache>
            </c:numRef>
          </c:val>
        </c:ser>
        <c:ser>
          <c:idx val="2"/>
          <c:order val="2"/>
          <c:tx>
            <c:strRef>
              <c:f>'FYE Nov 2008 IS Analysis'!$C$67</c:f>
              <c:strCache>
                <c:ptCount val="1"/>
                <c:pt idx="0">
                  <c:v>Parts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Analysis'!$D$67:$O$67</c:f>
              <c:numCache>
                <c:ptCount val="12"/>
                <c:pt idx="0">
                  <c:v>250.24</c:v>
                </c:pt>
                <c:pt idx="1">
                  <c:v>562.84</c:v>
                </c:pt>
                <c:pt idx="2">
                  <c:v>507.45</c:v>
                </c:pt>
                <c:pt idx="3">
                  <c:v>603.54</c:v>
                </c:pt>
                <c:pt idx="4">
                  <c:v>622</c:v>
                </c:pt>
                <c:pt idx="5">
                  <c:v>842.39</c:v>
                </c:pt>
                <c:pt idx="6">
                  <c:v>559.38</c:v>
                </c:pt>
                <c:pt idx="7">
                  <c:v>738.73</c:v>
                </c:pt>
                <c:pt idx="8">
                  <c:v>832.11</c:v>
                </c:pt>
                <c:pt idx="9">
                  <c:v>226.81</c:v>
                </c:pt>
                <c:pt idx="10">
                  <c:v>801.28</c:v>
                </c:pt>
                <c:pt idx="11">
                  <c:v>376.34</c:v>
                </c:pt>
              </c:numCache>
            </c:numRef>
          </c:val>
        </c:ser>
        <c:ser>
          <c:idx val="3"/>
          <c:order val="3"/>
          <c:tx>
            <c:strRef>
              <c:f>'FYE Nov 2008 IS Analysis'!$C$68</c:f>
              <c:strCache>
                <c:ptCount val="1"/>
                <c:pt idx="0">
                  <c:v>Classes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Analysis'!$D$68:$O$68</c:f>
              <c:numCache>
                <c:ptCount val="12"/>
                <c:pt idx="0">
                  <c:v>0</c:v>
                </c:pt>
                <c:pt idx="1">
                  <c:v>630</c:v>
                </c:pt>
                <c:pt idx="2">
                  <c:v>450</c:v>
                </c:pt>
                <c:pt idx="3">
                  <c:v>0</c:v>
                </c:pt>
                <c:pt idx="4">
                  <c:v>670</c:v>
                </c:pt>
                <c:pt idx="5">
                  <c:v>960</c:v>
                </c:pt>
                <c:pt idx="6">
                  <c:v>620</c:v>
                </c:pt>
                <c:pt idx="7">
                  <c:v>0</c:v>
                </c:pt>
                <c:pt idx="8">
                  <c:v>1015.19</c:v>
                </c:pt>
                <c:pt idx="9">
                  <c:v>0</c:v>
                </c:pt>
                <c:pt idx="10">
                  <c:v>1243.53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'FYE Nov 2008 IS Analysis'!$C$69</c:f>
              <c:strCache>
                <c:ptCount val="1"/>
                <c:pt idx="0">
                  <c:v>Special Orders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'FYE Nov 2008 IS Analysis'!$D$1:$O$1</c:f>
              <c:strCache>
                <c:ptCount val="12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</c:strCache>
            </c:strRef>
          </c:cat>
          <c:val>
            <c:numRef>
              <c:f>'FYE Nov 2008 IS Analysis'!$D$69:$O$69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16.38</c:v>
                </c:pt>
                <c:pt idx="4">
                  <c:v>32.59</c:v>
                </c:pt>
                <c:pt idx="5">
                  <c:v>43.32</c:v>
                </c:pt>
                <c:pt idx="6">
                  <c:v>112.68</c:v>
                </c:pt>
                <c:pt idx="7">
                  <c:v>102.26</c:v>
                </c:pt>
                <c:pt idx="8">
                  <c:v>20.33</c:v>
                </c:pt>
                <c:pt idx="9">
                  <c:v>25.88</c:v>
                </c:pt>
                <c:pt idx="10">
                  <c:v>15.36</c:v>
                </c:pt>
                <c:pt idx="11">
                  <c:v>36.18</c:v>
                </c:pt>
              </c:numCache>
            </c:numRef>
          </c:val>
        </c:ser>
        <c:overlap val="100"/>
        <c:axId val="63795848"/>
        <c:axId val="24039657"/>
      </c:barChart>
      <c:dateAx>
        <c:axId val="637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9657"/>
        <c:crosses val="autoZero"/>
        <c:auto val="0"/>
        <c:noMultiLvlLbl val="0"/>
      </c:dateAx>
      <c:valAx>
        <c:axId val="24039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95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47625</xdr:rowOff>
    </xdr:from>
    <xdr:to>
      <xdr:col>11</xdr:col>
      <xdr:colOff>409575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66725" y="47625"/>
        <a:ext cx="6648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22</xdr:row>
      <xdr:rowOff>19050</xdr:rowOff>
    </xdr:from>
    <xdr:to>
      <xdr:col>11</xdr:col>
      <xdr:colOff>419100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419100" y="3581400"/>
        <a:ext cx="67056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41</xdr:row>
      <xdr:rowOff>66675</xdr:rowOff>
    </xdr:from>
    <xdr:to>
      <xdr:col>10</xdr:col>
      <xdr:colOff>133350</xdr:colOff>
      <xdr:row>58</xdr:row>
      <xdr:rowOff>66675</xdr:rowOff>
    </xdr:to>
    <xdr:graphicFrame>
      <xdr:nvGraphicFramePr>
        <xdr:cNvPr id="3" name="Chart 3"/>
        <xdr:cNvGraphicFramePr/>
      </xdr:nvGraphicFramePr>
      <xdr:xfrm>
        <a:off x="419100" y="6705600"/>
        <a:ext cx="58102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58</xdr:row>
      <xdr:rowOff>85725</xdr:rowOff>
    </xdr:from>
    <xdr:to>
      <xdr:col>10</xdr:col>
      <xdr:colOff>152400</xdr:colOff>
      <xdr:row>79</xdr:row>
      <xdr:rowOff>85725</xdr:rowOff>
    </xdr:to>
    <xdr:graphicFrame>
      <xdr:nvGraphicFramePr>
        <xdr:cNvPr id="4" name="Chart 4"/>
        <xdr:cNvGraphicFramePr/>
      </xdr:nvGraphicFramePr>
      <xdr:xfrm>
        <a:off x="19050" y="9477375"/>
        <a:ext cx="62293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80</xdr:row>
      <xdr:rowOff>76200</xdr:rowOff>
    </xdr:from>
    <xdr:to>
      <xdr:col>10</xdr:col>
      <xdr:colOff>133350</xdr:colOff>
      <xdr:row>95</xdr:row>
      <xdr:rowOff>85725</xdr:rowOff>
    </xdr:to>
    <xdr:graphicFrame>
      <xdr:nvGraphicFramePr>
        <xdr:cNvPr id="5" name="Chart 5"/>
        <xdr:cNvGraphicFramePr/>
      </xdr:nvGraphicFramePr>
      <xdr:xfrm>
        <a:off x="419100" y="13030200"/>
        <a:ext cx="581025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96</xdr:row>
      <xdr:rowOff>19050</xdr:rowOff>
    </xdr:from>
    <xdr:to>
      <xdr:col>10</xdr:col>
      <xdr:colOff>600075</xdr:colOff>
      <xdr:row>115</xdr:row>
      <xdr:rowOff>133350</xdr:rowOff>
    </xdr:to>
    <xdr:graphicFrame>
      <xdr:nvGraphicFramePr>
        <xdr:cNvPr id="6" name="Chart 6"/>
        <xdr:cNvGraphicFramePr/>
      </xdr:nvGraphicFramePr>
      <xdr:xfrm>
        <a:off x="47625" y="15563850"/>
        <a:ext cx="664845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115</xdr:row>
      <xdr:rowOff>152400</xdr:rowOff>
    </xdr:from>
    <xdr:to>
      <xdr:col>10</xdr:col>
      <xdr:colOff>561975</xdr:colOff>
      <xdr:row>135</xdr:row>
      <xdr:rowOff>104775</xdr:rowOff>
    </xdr:to>
    <xdr:graphicFrame>
      <xdr:nvGraphicFramePr>
        <xdr:cNvPr id="7" name="Chart 7"/>
        <xdr:cNvGraphicFramePr/>
      </xdr:nvGraphicFramePr>
      <xdr:xfrm>
        <a:off x="9525" y="18773775"/>
        <a:ext cx="6648450" cy="319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136</xdr:row>
      <xdr:rowOff>152400</xdr:rowOff>
    </xdr:from>
    <xdr:to>
      <xdr:col>10</xdr:col>
      <xdr:colOff>571500</xdr:colOff>
      <xdr:row>156</xdr:row>
      <xdr:rowOff>104775</xdr:rowOff>
    </xdr:to>
    <xdr:graphicFrame>
      <xdr:nvGraphicFramePr>
        <xdr:cNvPr id="8" name="Chart 8"/>
        <xdr:cNvGraphicFramePr/>
      </xdr:nvGraphicFramePr>
      <xdr:xfrm>
        <a:off x="19050" y="22174200"/>
        <a:ext cx="6648450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157</xdr:row>
      <xdr:rowOff>28575</xdr:rowOff>
    </xdr:from>
    <xdr:to>
      <xdr:col>11</xdr:col>
      <xdr:colOff>9525</xdr:colOff>
      <xdr:row>173</xdr:row>
      <xdr:rowOff>114300</xdr:rowOff>
    </xdr:to>
    <xdr:graphicFrame>
      <xdr:nvGraphicFramePr>
        <xdr:cNvPr id="9" name="Chart 10"/>
        <xdr:cNvGraphicFramePr/>
      </xdr:nvGraphicFramePr>
      <xdr:xfrm>
        <a:off x="0" y="25450800"/>
        <a:ext cx="67151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owrey\Local%20Settings\Temporary%20Internet%20Files\Content.IE5\FL6KBZI8\FYE%20Dec%2007%20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owrey\Local%20Settings\Temporary%20Internet%20Files\Content.IE5\6SEPB4YV\New%20IS-BS%20FYE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 07 IS"/>
    </sheetNames>
    <sheetDataSet>
      <sheetData sheetId="0">
        <row r="10">
          <cell r="D10">
            <v>260</v>
          </cell>
          <cell r="E10">
            <v>300</v>
          </cell>
          <cell r="F10">
            <v>300.23</v>
          </cell>
          <cell r="G10">
            <v>451</v>
          </cell>
          <cell r="H10">
            <v>589</v>
          </cell>
          <cell r="I10">
            <v>536.49</v>
          </cell>
          <cell r="J10">
            <v>651</v>
          </cell>
          <cell r="K10">
            <v>434</v>
          </cell>
          <cell r="L10">
            <v>549</v>
          </cell>
          <cell r="M10">
            <v>685.5</v>
          </cell>
          <cell r="N10">
            <v>304</v>
          </cell>
          <cell r="O10">
            <v>580</v>
          </cell>
        </row>
        <row r="15">
          <cell r="D15">
            <v>532</v>
          </cell>
          <cell r="E15">
            <v>795</v>
          </cell>
          <cell r="F15">
            <v>947</v>
          </cell>
          <cell r="G15">
            <v>1075.06</v>
          </cell>
          <cell r="H15">
            <v>1175</v>
          </cell>
          <cell r="I15">
            <v>1302</v>
          </cell>
          <cell r="J15">
            <v>1418</v>
          </cell>
          <cell r="K15">
            <v>871</v>
          </cell>
          <cell r="L15">
            <v>2045</v>
          </cell>
          <cell r="M15">
            <v>1563.91</v>
          </cell>
          <cell r="N15">
            <v>1230</v>
          </cell>
          <cell r="O15">
            <v>1507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 Dec 07"/>
    </sheetNames>
    <sheetDataSet>
      <sheetData sheetId="0">
        <row r="10">
          <cell r="D10">
            <v>0</v>
          </cell>
          <cell r="E10">
            <v>15</v>
          </cell>
          <cell r="F10">
            <v>121</v>
          </cell>
          <cell r="G10">
            <v>0</v>
          </cell>
          <cell r="H10">
            <v>0</v>
          </cell>
          <cell r="I10">
            <v>133</v>
          </cell>
          <cell r="J10">
            <v>0</v>
          </cell>
          <cell r="K10">
            <v>40</v>
          </cell>
          <cell r="L10">
            <v>869.08</v>
          </cell>
          <cell r="M10">
            <v>302.86</v>
          </cell>
          <cell r="N10">
            <v>17739.92</v>
          </cell>
          <cell r="O10">
            <v>4463.45</v>
          </cell>
          <cell r="P10">
            <v>8188.65</v>
          </cell>
          <cell r="Q10">
            <v>8288.39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40.15</v>
          </cell>
          <cell r="L33">
            <v>0</v>
          </cell>
          <cell r="M33">
            <v>1428.34</v>
          </cell>
          <cell r="N33">
            <v>532.41</v>
          </cell>
          <cell r="O33">
            <v>201.03</v>
          </cell>
          <cell r="P33">
            <v>280</v>
          </cell>
          <cell r="Q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7:A137"/>
  <sheetViews>
    <sheetView workbookViewId="0" topLeftCell="A82">
      <selection activeCell="D182" sqref="D182"/>
    </sheetView>
  </sheetViews>
  <sheetFormatPr defaultColWidth="9.140625" defaultRowHeight="12.75"/>
  <sheetData>
    <row r="137" ht="12.75">
      <c r="A137" t="s">
        <v>123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6">
      <selection activeCell="A59" sqref="A59:IV74"/>
    </sheetView>
  </sheetViews>
  <sheetFormatPr defaultColWidth="9.140625" defaultRowHeight="12.75"/>
  <cols>
    <col min="1" max="1" width="14.28125" style="0" customWidth="1"/>
    <col min="2" max="2" width="13.57421875" style="0" bestFit="1" customWidth="1"/>
    <col min="3" max="3" width="9.28125" style="0" bestFit="1" customWidth="1"/>
    <col min="4" max="4" width="10.00390625" style="0" customWidth="1"/>
    <col min="5" max="14" width="9.28125" style="0" bestFit="1" customWidth="1"/>
  </cols>
  <sheetData>
    <row r="1" spans="1:10" ht="12.75">
      <c r="A1" s="5" t="s">
        <v>6</v>
      </c>
      <c r="B1" s="2" t="s">
        <v>89</v>
      </c>
      <c r="C1" s="2" t="s">
        <v>56</v>
      </c>
      <c r="D1" s="2" t="s">
        <v>90</v>
      </c>
      <c r="E1" s="2" t="s">
        <v>91</v>
      </c>
      <c r="F1" s="2" t="s">
        <v>92</v>
      </c>
      <c r="G1" s="2" t="s">
        <v>46</v>
      </c>
      <c r="H1" s="2" t="s">
        <v>47</v>
      </c>
      <c r="I1" s="2" t="s">
        <v>48</v>
      </c>
      <c r="J1" s="3" t="s">
        <v>49</v>
      </c>
    </row>
    <row r="2" spans="1:10" ht="12.75">
      <c r="A2" s="11" t="s">
        <v>3</v>
      </c>
      <c r="B2" s="87">
        <f>'FYE Nov 2008 IS Analysis'!H17</f>
        <v>2000</v>
      </c>
      <c r="C2" s="87">
        <f>'FYE Nov 2008 IS Analysis'!I17</f>
        <v>0</v>
      </c>
      <c r="D2" s="87">
        <f>'FYE Nov 2008 IS Analysis'!J17</f>
        <v>0</v>
      </c>
      <c r="E2" s="87">
        <f>'FYE Nov 2008 IS Analysis'!K17</f>
        <v>0</v>
      </c>
      <c r="F2" s="87">
        <f>'FYE Nov 2008 IS Analysis'!L17</f>
        <v>0</v>
      </c>
      <c r="G2" s="87">
        <f>'FYE Nov 2008 IS Analysis'!M17</f>
        <v>574.03</v>
      </c>
      <c r="H2" s="87">
        <f>'FYE Nov 2008 IS Analysis'!N17</f>
        <v>188.34</v>
      </c>
      <c r="I2" s="87">
        <f>'FYE Nov 2008 IS Analysis'!O17</f>
        <v>36.72</v>
      </c>
      <c r="J2" s="89">
        <f>SUM(G2:I2)</f>
        <v>799.09</v>
      </c>
    </row>
    <row r="3" spans="1:10" ht="12.75">
      <c r="A3" s="12" t="s">
        <v>44</v>
      </c>
      <c r="B3" s="88">
        <f>'FYE Nov 2008 IS Analysis'!H37</f>
        <v>0</v>
      </c>
      <c r="C3" s="88">
        <f>'FYE Nov 2008 IS Analysis'!I37</f>
        <v>0</v>
      </c>
      <c r="D3" s="88">
        <f>'FYE Nov 2008 IS Analysis'!J37</f>
        <v>0</v>
      </c>
      <c r="E3" s="88">
        <f>'FYE Nov 2008 IS Analysis'!K37</f>
        <v>80.46</v>
      </c>
      <c r="F3" s="88">
        <f>'FYE Nov 2008 IS Analysis'!L37</f>
        <v>0</v>
      </c>
      <c r="G3" s="88">
        <f>'FYE Nov 2008 IS Analysis'!M37</f>
        <v>1673</v>
      </c>
      <c r="H3" s="88">
        <f>'FYE Nov 2008 IS Analysis'!N37</f>
        <v>161.91</v>
      </c>
      <c r="I3" s="88">
        <f>'FYE Nov 2008 IS Analysis'!O37</f>
        <v>715</v>
      </c>
      <c r="J3" s="90">
        <f>SUM(A3:I3)</f>
        <v>2630.37</v>
      </c>
    </row>
    <row r="4" spans="1:10" ht="13.5" thickBot="1">
      <c r="A4" s="13" t="s">
        <v>45</v>
      </c>
      <c r="B4" s="91">
        <f aca="true" t="shared" si="0" ref="B4:J4">B2-B3</f>
        <v>2000</v>
      </c>
      <c r="C4" s="91">
        <f t="shared" si="0"/>
        <v>0</v>
      </c>
      <c r="D4" s="91">
        <f t="shared" si="0"/>
        <v>0</v>
      </c>
      <c r="E4" s="91">
        <f t="shared" si="0"/>
        <v>-80.46</v>
      </c>
      <c r="F4" s="91">
        <f t="shared" si="0"/>
        <v>0</v>
      </c>
      <c r="G4" s="91">
        <f t="shared" si="0"/>
        <v>-1098.97</v>
      </c>
      <c r="H4" s="91">
        <f t="shared" si="0"/>
        <v>26.430000000000007</v>
      </c>
      <c r="I4" s="91">
        <f t="shared" si="0"/>
        <v>-678.28</v>
      </c>
      <c r="J4" s="92">
        <f t="shared" si="0"/>
        <v>-1831.2799999999997</v>
      </c>
    </row>
    <row r="5" ht="13.5" thickBot="1"/>
    <row r="6" spans="1:3" ht="12.75">
      <c r="A6" s="6" t="s">
        <v>7</v>
      </c>
      <c r="B6" s="14"/>
      <c r="C6" s="15"/>
    </row>
    <row r="7" spans="1:3" ht="12.75">
      <c r="A7" s="17" t="s">
        <v>67</v>
      </c>
      <c r="B7" s="18" t="s">
        <v>68</v>
      </c>
      <c r="C7" s="19" t="s">
        <v>69</v>
      </c>
    </row>
    <row r="8" spans="1:3" ht="12.75">
      <c r="A8" s="22" t="s">
        <v>51</v>
      </c>
      <c r="B8" s="23"/>
      <c r="C8" s="24"/>
    </row>
    <row r="9" spans="1:3" ht="12.75">
      <c r="A9" s="25" t="s">
        <v>52</v>
      </c>
      <c r="B9" s="23" t="s">
        <v>64</v>
      </c>
      <c r="C9" s="26">
        <v>630</v>
      </c>
    </row>
    <row r="10" spans="1:3" ht="12.75">
      <c r="A10" s="25" t="s">
        <v>53</v>
      </c>
      <c r="B10" s="23"/>
      <c r="C10" s="24"/>
    </row>
    <row r="11" spans="1:3" ht="12.75">
      <c r="A11" s="25" t="s">
        <v>54</v>
      </c>
      <c r="B11" s="23" t="s">
        <v>63</v>
      </c>
      <c r="C11" s="26">
        <v>560</v>
      </c>
    </row>
    <row r="12" spans="1:3" ht="12.75">
      <c r="A12" s="25" t="s">
        <v>55</v>
      </c>
      <c r="B12" s="23" t="s">
        <v>63</v>
      </c>
      <c r="C12" s="26">
        <v>520</v>
      </c>
    </row>
    <row r="13" spans="1:3" ht="12.75">
      <c r="A13" s="25"/>
      <c r="B13" s="23" t="s">
        <v>66</v>
      </c>
      <c r="C13" s="26">
        <v>110</v>
      </c>
    </row>
    <row r="14" spans="1:3" ht="12.75">
      <c r="A14" s="25" t="s">
        <v>56</v>
      </c>
      <c r="B14" s="23" t="s">
        <v>63</v>
      </c>
      <c r="C14" s="26">
        <v>250</v>
      </c>
    </row>
    <row r="15" spans="1:3" ht="12.75">
      <c r="A15" s="25"/>
      <c r="B15" s="23" t="s">
        <v>65</v>
      </c>
      <c r="C15" s="26">
        <v>190</v>
      </c>
    </row>
    <row r="16" spans="1:3" ht="12.75">
      <c r="A16" s="25" t="s">
        <v>57</v>
      </c>
      <c r="B16" s="23" t="s">
        <v>63</v>
      </c>
      <c r="C16" s="26">
        <v>620</v>
      </c>
    </row>
    <row r="17" spans="1:3" ht="12.75">
      <c r="A17" s="25" t="s">
        <v>58</v>
      </c>
      <c r="B17" s="23" t="s">
        <v>64</v>
      </c>
      <c r="C17" s="26">
        <v>510</v>
      </c>
    </row>
    <row r="18" spans="1:3" ht="12.75">
      <c r="A18" s="25" t="s">
        <v>59</v>
      </c>
      <c r="B18" s="23" t="s">
        <v>66</v>
      </c>
      <c r="C18" s="26">
        <v>510</v>
      </c>
    </row>
    <row r="19" spans="1:3" ht="12.75">
      <c r="A19" s="25" t="s">
        <v>60</v>
      </c>
      <c r="B19" s="23" t="s">
        <v>63</v>
      </c>
      <c r="C19" s="26">
        <v>660</v>
      </c>
    </row>
    <row r="20" spans="1:3" ht="12.75">
      <c r="A20" s="25" t="s">
        <v>61</v>
      </c>
      <c r="B20" s="23" t="s">
        <v>63</v>
      </c>
      <c r="C20" s="26">
        <v>580</v>
      </c>
    </row>
    <row r="21" spans="1:3" ht="13.5" thickBot="1">
      <c r="A21" s="29" t="s">
        <v>62</v>
      </c>
      <c r="B21" s="30" t="s">
        <v>63</v>
      </c>
      <c r="C21" s="31">
        <v>230</v>
      </c>
    </row>
    <row r="22" ht="13.5" thickBot="1"/>
    <row r="23" spans="1:2" ht="12.75">
      <c r="A23" s="1" t="s">
        <v>70</v>
      </c>
      <c r="B23" s="16"/>
    </row>
    <row r="24" spans="1:2" ht="12.75">
      <c r="A24" s="20" t="s">
        <v>45</v>
      </c>
      <c r="B24" s="21">
        <f>SUM('FYE Nov 2008 IS Analysis'!D19:O19)</f>
        <v>404.98</v>
      </c>
    </row>
    <row r="25" spans="1:2" ht="12.75">
      <c r="A25" s="20" t="s">
        <v>71</v>
      </c>
      <c r="B25" s="38">
        <f>-SUM('FYE Nov 2008 IS Analysis'!D22:O22)</f>
        <v>-99.18000000000006</v>
      </c>
    </row>
    <row r="26" spans="1:2" ht="12.75">
      <c r="A26" s="20" t="s">
        <v>72</v>
      </c>
      <c r="B26" s="39">
        <f>-SUM('FYE Nov 2008 IS Analysis'!D39:O39)</f>
        <v>-74.47</v>
      </c>
    </row>
    <row r="27" spans="1:2" ht="13.5" thickBot="1">
      <c r="A27" s="27" t="s">
        <v>73</v>
      </c>
      <c r="B27" s="28">
        <f>SUM(B24:B26)</f>
        <v>231.32999999999996</v>
      </c>
    </row>
    <row r="28" spans="1:5" ht="13.5" thickBot="1">
      <c r="A28" s="114"/>
      <c r="B28" s="114"/>
      <c r="D28" s="118"/>
      <c r="E28" s="116"/>
    </row>
    <row r="29" spans="1:5" ht="12.75">
      <c r="A29" s="122" t="s">
        <v>77</v>
      </c>
      <c r="B29" s="123"/>
      <c r="D29" s="116"/>
      <c r="E29" s="120"/>
    </row>
    <row r="30" spans="1:5" ht="15">
      <c r="A30" s="124" t="s">
        <v>5</v>
      </c>
      <c r="B30" s="43">
        <f>SUM('FYE Nov 2008 IS Analysis'!D5:O5)</f>
        <v>4771.85</v>
      </c>
      <c r="D30" s="116"/>
      <c r="E30" s="121"/>
    </row>
    <row r="31" spans="1:5" ht="15">
      <c r="A31" s="124" t="s">
        <v>6</v>
      </c>
      <c r="B31" s="115">
        <f>SUM('FYE Nov 2008 IS Analysis'!D6:N6)</f>
        <v>541.94</v>
      </c>
      <c r="D31" s="116"/>
      <c r="E31" s="117"/>
    </row>
    <row r="32" spans="1:5" ht="15">
      <c r="A32" s="124" t="s">
        <v>78</v>
      </c>
      <c r="B32" s="43">
        <f>SUM(B30:B31)</f>
        <v>5313.790000000001</v>
      </c>
      <c r="D32" s="116"/>
      <c r="E32" s="121"/>
    </row>
    <row r="33" spans="1:5" ht="15">
      <c r="A33" s="124" t="s">
        <v>13</v>
      </c>
      <c r="B33" s="115">
        <f>SUM('FYE Nov 2008 IS Analysis'!D31:O31)</f>
        <v>1537.13</v>
      </c>
      <c r="D33" s="116"/>
      <c r="E33" s="117"/>
    </row>
    <row r="34" spans="1:2" ht="12.75">
      <c r="A34" s="124" t="s">
        <v>73</v>
      </c>
      <c r="B34" s="43">
        <f>B32-B33</f>
        <v>3776.6600000000008</v>
      </c>
    </row>
    <row r="35" spans="1:2" ht="12.75">
      <c r="A35" s="124" t="s">
        <v>118</v>
      </c>
      <c r="B35" s="43">
        <v>1000</v>
      </c>
    </row>
    <row r="36" spans="1:2" ht="12.75">
      <c r="A36" s="124" t="s">
        <v>119</v>
      </c>
      <c r="B36" s="128">
        <v>150</v>
      </c>
    </row>
    <row r="37" spans="1:2" ht="13.5" thickBot="1">
      <c r="A37" s="127" t="s">
        <v>120</v>
      </c>
      <c r="B37" s="126">
        <f>SUM(B34:B36)</f>
        <v>4926.660000000001</v>
      </c>
    </row>
    <row r="38" ht="13.5" thickBot="1"/>
    <row r="39" spans="1:2" ht="12.75">
      <c r="A39" s="1" t="s">
        <v>121</v>
      </c>
      <c r="B39" s="123"/>
    </row>
    <row r="40" spans="1:2" ht="12.75">
      <c r="A40" s="130" t="s">
        <v>3</v>
      </c>
      <c r="B40" s="131">
        <f>SUM('FYE Nov 2008 IS Analysis'!D13:O13)</f>
        <v>23684.309999999998</v>
      </c>
    </row>
    <row r="41" spans="1:2" ht="12.75">
      <c r="A41" s="124" t="s">
        <v>44</v>
      </c>
      <c r="B41" s="132">
        <f>SUM('FYE Nov 2008 IS Analysis'!D35:O35)</f>
        <v>2201.9300000000003</v>
      </c>
    </row>
    <row r="42" spans="1:2" ht="13.5" thickBot="1">
      <c r="A42" s="125" t="s">
        <v>73</v>
      </c>
      <c r="B42" s="133">
        <f>B40-B41</f>
        <v>21482.379999999997</v>
      </c>
    </row>
    <row r="43" spans="1:2" ht="13.5" thickBot="1">
      <c r="A43" s="116"/>
      <c r="B43" s="129"/>
    </row>
    <row r="44" spans="1:2" ht="12.75">
      <c r="A44" s="1" t="s">
        <v>122</v>
      </c>
      <c r="B44" s="123"/>
    </row>
    <row r="45" spans="1:2" ht="12.75">
      <c r="A45" s="130" t="s">
        <v>3</v>
      </c>
      <c r="B45" s="131">
        <f>SUM('[2]IS Dec 07'!$D$10:$Q$10)</f>
        <v>40161.35</v>
      </c>
    </row>
    <row r="46" spans="1:2" ht="12.75">
      <c r="A46" s="124" t="s">
        <v>44</v>
      </c>
      <c r="B46" s="132">
        <f>SUM('[2]IS Dec 07'!$D$33:$Q$33)</f>
        <v>2481.9300000000003</v>
      </c>
    </row>
    <row r="47" spans="1:2" ht="13.5" thickBot="1">
      <c r="A47" s="125" t="s">
        <v>73</v>
      </c>
      <c r="B47" s="133">
        <f>B45-B46</f>
        <v>37679.42</v>
      </c>
    </row>
    <row r="48" ht="13.5" thickBot="1"/>
    <row r="49" spans="1:2" ht="12.75">
      <c r="A49" s="33" t="s">
        <v>80</v>
      </c>
      <c r="B49" s="34"/>
    </row>
    <row r="50" spans="1:2" ht="12.75">
      <c r="A50" s="46" t="s">
        <v>81</v>
      </c>
      <c r="B50" s="47">
        <f>'FYE Nov 2008 IS Analysis'!P15</f>
        <v>1445.4391666666663</v>
      </c>
    </row>
    <row r="51" spans="1:2" ht="12.75">
      <c r="A51" s="40" t="s">
        <v>84</v>
      </c>
      <c r="B51" s="41">
        <f>'FYE Nov 2008 IS Analysis'!P16</f>
        <v>40.09570138888889</v>
      </c>
    </row>
    <row r="52" spans="1:2" ht="12.75">
      <c r="A52" s="48" t="s">
        <v>85</v>
      </c>
      <c r="B52" s="49"/>
    </row>
    <row r="53" spans="1:2" ht="12.75">
      <c r="A53" s="46" t="s">
        <v>82</v>
      </c>
      <c r="B53" s="47">
        <f>('FYE Nov 2008 IS Analysis'!L15+'FYE Nov 2008 IS Analysis'!M15)/2</f>
        <v>2190.775</v>
      </c>
    </row>
    <row r="54" spans="1:2" ht="12.75">
      <c r="A54" s="40" t="s">
        <v>87</v>
      </c>
      <c r="B54" s="42">
        <f>B53/40</f>
        <v>54.769375000000004</v>
      </c>
    </row>
    <row r="55" spans="1:2" ht="12.75">
      <c r="A55" s="48" t="s">
        <v>88</v>
      </c>
      <c r="B55" s="50"/>
    </row>
    <row r="56" spans="1:2" ht="12.75">
      <c r="A56" s="40" t="s">
        <v>83</v>
      </c>
      <c r="B56" s="43">
        <f>SUM('FYE Nov 2008 IS Analysis'!D16:O16)</f>
        <v>481.1484166666667</v>
      </c>
    </row>
    <row r="57" spans="1:2" ht="13.5" thickBot="1">
      <c r="A57" s="44" t="s">
        <v>86</v>
      </c>
      <c r="B57" s="45"/>
    </row>
    <row r="59" ht="12.75">
      <c r="A59" s="32"/>
    </row>
    <row r="60" spans="2:13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2:13" ht="12.7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 ht="12.7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4" ht="12.7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35"/>
    </row>
    <row r="66" spans="2:13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2:13" ht="12.7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 ht="12.75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2:14" ht="12.7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P17" sqref="P17"/>
    </sheetView>
  </sheetViews>
  <sheetFormatPr defaultColWidth="9.140625" defaultRowHeight="12.75"/>
  <cols>
    <col min="1" max="1" width="3.421875" style="66" customWidth="1"/>
    <col min="2" max="2" width="3.28125" style="66" customWidth="1"/>
    <col min="3" max="3" width="19.7109375" style="66" customWidth="1"/>
    <col min="4" max="5" width="8.140625" style="66" bestFit="1" customWidth="1"/>
    <col min="6" max="12" width="8.140625" style="7" bestFit="1" customWidth="1"/>
    <col min="13" max="14" width="9.28125" style="7" bestFit="1" customWidth="1"/>
    <col min="15" max="15" width="8.140625" style="7" bestFit="1" customWidth="1"/>
    <col min="16" max="17" width="11.28125" style="7" customWidth="1"/>
    <col min="18" max="34" width="11.28125" style="66" customWidth="1"/>
    <col min="35" max="16384" width="9.140625" style="66" customWidth="1"/>
  </cols>
  <sheetData>
    <row r="1" ht="12.75">
      <c r="A1" s="54" t="s">
        <v>93</v>
      </c>
    </row>
    <row r="3" spans="1:17" s="54" customFormat="1" ht="12.75">
      <c r="A3" s="54" t="s">
        <v>0</v>
      </c>
      <c r="B3" s="54" t="s">
        <v>0</v>
      </c>
      <c r="C3" s="54" t="s">
        <v>0</v>
      </c>
      <c r="D3" s="93">
        <v>39417</v>
      </c>
      <c r="E3" s="93">
        <v>39448</v>
      </c>
      <c r="F3" s="93">
        <v>39479</v>
      </c>
      <c r="G3" s="93">
        <v>39508</v>
      </c>
      <c r="H3" s="93">
        <v>39539</v>
      </c>
      <c r="I3" s="93">
        <v>39569</v>
      </c>
      <c r="J3" s="93">
        <v>39600</v>
      </c>
      <c r="K3" s="93">
        <v>39630</v>
      </c>
      <c r="L3" s="93">
        <v>39661</v>
      </c>
      <c r="M3" s="93">
        <v>39692</v>
      </c>
      <c r="N3" s="93">
        <v>39722</v>
      </c>
      <c r="O3" s="93">
        <v>39753</v>
      </c>
      <c r="P3" s="7"/>
      <c r="Q3" s="7"/>
    </row>
    <row r="4" spans="1:17" ht="12.75">
      <c r="A4" s="141" t="s">
        <v>94</v>
      </c>
      <c r="B4" s="142" t="s">
        <v>2</v>
      </c>
      <c r="C4" s="142" t="s">
        <v>2</v>
      </c>
      <c r="D4" s="66" t="s">
        <v>2</v>
      </c>
      <c r="E4" s="66" t="s">
        <v>2</v>
      </c>
      <c r="F4" s="95" t="s">
        <v>2</v>
      </c>
      <c r="G4" s="95" t="s">
        <v>2</v>
      </c>
      <c r="H4" s="95" t="s">
        <v>2</v>
      </c>
      <c r="I4" s="95" t="s">
        <v>2</v>
      </c>
      <c r="K4" s="95" t="s">
        <v>2</v>
      </c>
      <c r="L4" s="95" t="s">
        <v>2</v>
      </c>
      <c r="M4" s="95" t="s">
        <v>2</v>
      </c>
      <c r="N4" s="95" t="s">
        <v>2</v>
      </c>
      <c r="O4" s="95" t="s">
        <v>2</v>
      </c>
      <c r="P4" s="95"/>
      <c r="Q4" s="57"/>
    </row>
    <row r="5" spans="1:17" ht="15">
      <c r="A5" s="138" t="s">
        <v>95</v>
      </c>
      <c r="B5" s="138"/>
      <c r="C5" s="138"/>
      <c r="D5" s="51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1">
        <v>0</v>
      </c>
      <c r="N5" s="51">
        <v>0</v>
      </c>
      <c r="O5" s="52">
        <v>0</v>
      </c>
      <c r="Q5" s="95"/>
    </row>
    <row r="6" spans="1:17" s="97" customFormat="1" ht="15">
      <c r="A6" s="97" t="s">
        <v>2</v>
      </c>
      <c r="B6" s="138" t="s">
        <v>96</v>
      </c>
      <c r="C6" s="138"/>
      <c r="D6" s="51">
        <v>4200</v>
      </c>
      <c r="E6" s="52">
        <v>4200</v>
      </c>
      <c r="F6" s="52">
        <v>4200</v>
      </c>
      <c r="G6" s="52">
        <v>4200</v>
      </c>
      <c r="H6" s="52">
        <v>4200</v>
      </c>
      <c r="I6" s="52">
        <v>4200</v>
      </c>
      <c r="J6" s="52">
        <v>4200</v>
      </c>
      <c r="K6" s="52">
        <v>4200</v>
      </c>
      <c r="L6" s="52">
        <v>4200</v>
      </c>
      <c r="M6" s="51">
        <v>4200</v>
      </c>
      <c r="N6" s="51">
        <v>4200</v>
      </c>
      <c r="O6" s="51">
        <v>4200</v>
      </c>
      <c r="P6" s="98"/>
      <c r="Q6" s="99"/>
    </row>
    <row r="7" spans="1:17" s="97" customFormat="1" ht="15">
      <c r="A7" s="97" t="s">
        <v>2</v>
      </c>
      <c r="B7" s="138" t="s">
        <v>97</v>
      </c>
      <c r="C7" s="138" t="s">
        <v>2</v>
      </c>
      <c r="D7" s="51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1">
        <v>0</v>
      </c>
      <c r="N7" s="51">
        <v>5865</v>
      </c>
      <c r="O7" s="51">
        <v>5865</v>
      </c>
      <c r="P7" s="98"/>
      <c r="Q7" s="99"/>
    </row>
    <row r="8" spans="1:17" s="97" customFormat="1" ht="15">
      <c r="A8" s="97" t="s">
        <v>2</v>
      </c>
      <c r="B8" s="138" t="s">
        <v>98</v>
      </c>
      <c r="C8" s="138" t="s">
        <v>2</v>
      </c>
      <c r="D8" s="51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1">
        <v>0</v>
      </c>
      <c r="N8" s="51">
        <v>0</v>
      </c>
      <c r="O8" s="51">
        <v>0</v>
      </c>
      <c r="P8" s="98"/>
      <c r="Q8" s="99"/>
    </row>
    <row r="9" spans="1:17" s="97" customFormat="1" ht="15">
      <c r="A9" s="97" t="s">
        <v>2</v>
      </c>
      <c r="B9" s="138" t="s">
        <v>131</v>
      </c>
      <c r="C9" s="138" t="s">
        <v>2</v>
      </c>
      <c r="D9" s="51">
        <v>0</v>
      </c>
      <c r="E9" s="52">
        <v>0</v>
      </c>
      <c r="F9" s="52">
        <v>0</v>
      </c>
      <c r="G9" s="52">
        <v>157.3</v>
      </c>
      <c r="H9" s="52">
        <v>340.6</v>
      </c>
      <c r="I9" s="52">
        <v>447.48</v>
      </c>
      <c r="J9" s="52">
        <v>18.54</v>
      </c>
      <c r="K9" s="52">
        <v>88.14</v>
      </c>
      <c r="L9" s="52">
        <v>179.81</v>
      </c>
      <c r="M9" s="51">
        <v>318.84</v>
      </c>
      <c r="N9" s="51">
        <v>346.84</v>
      </c>
      <c r="O9" s="51">
        <v>0</v>
      </c>
      <c r="P9" s="98"/>
      <c r="Q9" s="99"/>
    </row>
    <row r="10" spans="1:17" s="97" customFormat="1" ht="15">
      <c r="A10" s="97" t="s">
        <v>2</v>
      </c>
      <c r="B10" s="138" t="s">
        <v>99</v>
      </c>
      <c r="C10" s="138" t="s">
        <v>2</v>
      </c>
      <c r="D10" s="51">
        <v>15027.52</v>
      </c>
      <c r="E10" s="52">
        <v>13771.91</v>
      </c>
      <c r="F10" s="52">
        <v>13842.2</v>
      </c>
      <c r="G10" s="52">
        <v>14170.96</v>
      </c>
      <c r="H10" s="52">
        <v>16812.02</v>
      </c>
      <c r="I10" s="52">
        <v>18733.45</v>
      </c>
      <c r="J10" s="52">
        <v>18571.18</v>
      </c>
      <c r="K10" s="52">
        <v>19875.05</v>
      </c>
      <c r="L10" s="52">
        <v>22516.74</v>
      </c>
      <c r="M10" s="51">
        <v>21790.09</v>
      </c>
      <c r="N10" s="51">
        <v>9366.59</v>
      </c>
      <c r="O10" s="100">
        <v>8580.48</v>
      </c>
      <c r="P10" s="99"/>
      <c r="Q10" s="99"/>
    </row>
    <row r="11" spans="1:17" s="97" customFormat="1" ht="15">
      <c r="A11" s="97" t="s">
        <v>2</v>
      </c>
      <c r="B11" s="97" t="s">
        <v>2</v>
      </c>
      <c r="C11" s="96" t="s">
        <v>100</v>
      </c>
      <c r="D11" s="51">
        <v>0</v>
      </c>
      <c r="E11" s="52">
        <v>0</v>
      </c>
      <c r="F11" s="52">
        <v>0</v>
      </c>
      <c r="G11" s="52">
        <v>1000</v>
      </c>
      <c r="H11" s="52">
        <v>1000</v>
      </c>
      <c r="I11" s="52">
        <v>1000</v>
      </c>
      <c r="J11" s="52">
        <v>1000</v>
      </c>
      <c r="K11" s="52">
        <v>1000</v>
      </c>
      <c r="L11" s="52">
        <v>500</v>
      </c>
      <c r="M11" s="51">
        <v>815</v>
      </c>
      <c r="N11" s="51">
        <v>4814.66</v>
      </c>
      <c r="O11" s="52">
        <v>4776.66</v>
      </c>
      <c r="P11" s="99"/>
      <c r="Q11" s="99"/>
    </row>
    <row r="12" spans="1:17" s="97" customFormat="1" ht="15">
      <c r="A12" s="97" t="s">
        <v>2</v>
      </c>
      <c r="B12" s="97" t="s">
        <v>2</v>
      </c>
      <c r="C12" s="96" t="s">
        <v>101</v>
      </c>
      <c r="D12" s="51">
        <v>0</v>
      </c>
      <c r="E12" s="52">
        <v>15</v>
      </c>
      <c r="F12" s="52">
        <v>136</v>
      </c>
      <c r="G12" s="52">
        <v>136</v>
      </c>
      <c r="H12" s="52">
        <v>136</v>
      </c>
      <c r="I12" s="52">
        <v>269</v>
      </c>
      <c r="J12" s="52">
        <v>269</v>
      </c>
      <c r="K12" s="52">
        <v>268.85</v>
      </c>
      <c r="L12" s="52">
        <v>1137.93</v>
      </c>
      <c r="M12" s="51">
        <v>12.45</v>
      </c>
      <c r="N12" s="51">
        <v>17219.96</v>
      </c>
      <c r="O12" s="52">
        <v>21482.38</v>
      </c>
      <c r="Q12" s="99"/>
    </row>
    <row r="13" spans="1:17" s="97" customFormat="1" ht="15">
      <c r="A13" s="97" t="s">
        <v>2</v>
      </c>
      <c r="B13" s="138" t="s">
        <v>102</v>
      </c>
      <c r="C13" s="138" t="s">
        <v>2</v>
      </c>
      <c r="D13" s="51">
        <v>7518.8</v>
      </c>
      <c r="E13" s="52">
        <v>7519.75</v>
      </c>
      <c r="F13" s="52">
        <v>7520.64</v>
      </c>
      <c r="G13" s="52">
        <v>7521.6</v>
      </c>
      <c r="H13" s="52">
        <v>7522.52</v>
      </c>
      <c r="I13" s="52">
        <v>7523.48</v>
      </c>
      <c r="J13" s="52">
        <v>7524.41</v>
      </c>
      <c r="K13" s="52">
        <v>7525.36</v>
      </c>
      <c r="L13" s="52">
        <v>7526.32</v>
      </c>
      <c r="M13" s="51">
        <v>7747.25</v>
      </c>
      <c r="N13" s="51">
        <v>16315.24</v>
      </c>
      <c r="O13" s="51">
        <v>16321.93</v>
      </c>
      <c r="P13" s="98"/>
      <c r="Q13" s="99"/>
    </row>
    <row r="14" spans="1:17" s="97" customFormat="1" ht="15">
      <c r="A14" s="97" t="s">
        <v>2</v>
      </c>
      <c r="B14" s="138" t="s">
        <v>103</v>
      </c>
      <c r="C14" s="138" t="s">
        <v>2</v>
      </c>
      <c r="D14" s="51">
        <v>50</v>
      </c>
      <c r="E14" s="52">
        <v>50</v>
      </c>
      <c r="F14" s="52">
        <v>50</v>
      </c>
      <c r="G14" s="52">
        <v>50</v>
      </c>
      <c r="H14" s="52">
        <v>50</v>
      </c>
      <c r="I14" s="52">
        <v>50</v>
      </c>
      <c r="J14" s="52">
        <v>50</v>
      </c>
      <c r="K14" s="52">
        <v>50</v>
      </c>
      <c r="L14" s="52">
        <v>50</v>
      </c>
      <c r="M14" s="51">
        <v>50</v>
      </c>
      <c r="N14" s="51">
        <v>50</v>
      </c>
      <c r="O14" s="51">
        <v>50</v>
      </c>
      <c r="P14" s="98"/>
      <c r="Q14" s="99"/>
    </row>
    <row r="15" spans="1:17" s="203" customFormat="1" ht="12.75">
      <c r="A15" s="199" t="s">
        <v>104</v>
      </c>
      <c r="B15" s="200" t="s">
        <v>2</v>
      </c>
      <c r="C15" s="200" t="s">
        <v>2</v>
      </c>
      <c r="D15" s="204">
        <f>SUM(D5:D14)</f>
        <v>26796.32</v>
      </c>
      <c r="E15" s="204">
        <f>SUM(E5:E14)</f>
        <v>25556.66</v>
      </c>
      <c r="F15" s="204">
        <f>SUM(F5:F14)</f>
        <v>25748.84</v>
      </c>
      <c r="G15" s="204">
        <f>SUM(G5:G14)</f>
        <v>27235.86</v>
      </c>
      <c r="H15" s="204">
        <f>SUM(H5:H14)</f>
        <v>30061.140000000003</v>
      </c>
      <c r="I15" s="204">
        <f>SUM(I5:I14)</f>
        <v>32223.41</v>
      </c>
      <c r="J15" s="204">
        <f>SUM(J5:J14)</f>
        <v>31633.13</v>
      </c>
      <c r="K15" s="204">
        <f>SUM(K5:K14)</f>
        <v>33007.399999999994</v>
      </c>
      <c r="L15" s="204">
        <f>SUM(L5:L14)</f>
        <v>36110.8</v>
      </c>
      <c r="M15" s="204">
        <f>SUM(M5:M14)</f>
        <v>34933.630000000005</v>
      </c>
      <c r="N15" s="204">
        <f>SUM(N5:N14)</f>
        <v>58178.29</v>
      </c>
      <c r="O15" s="204">
        <f>SUM(O5:O14)</f>
        <v>61276.450000000004</v>
      </c>
      <c r="P15" s="201"/>
      <c r="Q15" s="202"/>
    </row>
    <row r="16" spans="1:3" s="97" customFormat="1" ht="12.75">
      <c r="A16" s="106"/>
      <c r="B16" s="106"/>
      <c r="C16" s="106"/>
    </row>
    <row r="17" spans="1:17" ht="12.75">
      <c r="A17" s="141" t="s">
        <v>105</v>
      </c>
      <c r="B17" s="142" t="s">
        <v>2</v>
      </c>
      <c r="C17" s="142" t="s">
        <v>2</v>
      </c>
      <c r="D17" s="66" t="s">
        <v>2</v>
      </c>
      <c r="E17" s="66" t="s">
        <v>2</v>
      </c>
      <c r="F17" s="95" t="s">
        <v>2</v>
      </c>
      <c r="G17" s="95" t="s">
        <v>2</v>
      </c>
      <c r="H17" s="95" t="s">
        <v>2</v>
      </c>
      <c r="I17" s="95" t="s">
        <v>2</v>
      </c>
      <c r="J17" s="95" t="s">
        <v>2</v>
      </c>
      <c r="K17" s="95" t="s">
        <v>2</v>
      </c>
      <c r="L17" s="95" t="s">
        <v>2</v>
      </c>
      <c r="M17" s="95" t="s">
        <v>2</v>
      </c>
      <c r="N17" s="95" t="s">
        <v>2</v>
      </c>
      <c r="O17" s="95" t="s">
        <v>2</v>
      </c>
      <c r="P17" s="95"/>
      <c r="Q17" s="57"/>
    </row>
    <row r="18" spans="1:17" ht="12.75">
      <c r="A18" s="138" t="s">
        <v>106</v>
      </c>
      <c r="B18" s="138" t="s">
        <v>2</v>
      </c>
      <c r="C18" s="138" t="s">
        <v>2</v>
      </c>
      <c r="D18" s="107"/>
      <c r="E18" s="107"/>
      <c r="F18" s="107"/>
      <c r="G18" s="107"/>
      <c r="H18" s="108"/>
      <c r="I18" s="107"/>
      <c r="J18" s="107"/>
      <c r="K18" s="107"/>
      <c r="L18" s="107"/>
      <c r="M18" s="108"/>
      <c r="N18" s="107"/>
      <c r="O18" s="107"/>
      <c r="Q18" s="95"/>
    </row>
    <row r="19" spans="1:17" s="97" customFormat="1" ht="15">
      <c r="A19" s="97" t="s">
        <v>2</v>
      </c>
      <c r="B19" s="138" t="s">
        <v>107</v>
      </c>
      <c r="C19" s="138" t="s">
        <v>2</v>
      </c>
      <c r="D19" s="51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1">
        <v>0</v>
      </c>
      <c r="N19" s="51">
        <v>0</v>
      </c>
      <c r="O19" s="51">
        <v>0</v>
      </c>
      <c r="P19" s="98"/>
      <c r="Q19" s="99"/>
    </row>
    <row r="20" spans="1:17" s="97" customFormat="1" ht="15">
      <c r="A20" s="97" t="s">
        <v>2</v>
      </c>
      <c r="B20" s="138" t="s">
        <v>108</v>
      </c>
      <c r="C20" s="138" t="s">
        <v>2</v>
      </c>
      <c r="D20" s="51">
        <v>915.46</v>
      </c>
      <c r="E20" s="52">
        <v>25.06</v>
      </c>
      <c r="F20" s="52">
        <v>246.5</v>
      </c>
      <c r="G20" s="52">
        <v>338.94</v>
      </c>
      <c r="H20" s="52">
        <v>444.04</v>
      </c>
      <c r="I20" s="52">
        <v>614.08</v>
      </c>
      <c r="J20" s="52">
        <v>871.77</v>
      </c>
      <c r="K20" s="52">
        <v>1054.88</v>
      </c>
      <c r="L20" s="52">
        <v>1183.86</v>
      </c>
      <c r="M20" s="51">
        <v>1350.96</v>
      </c>
      <c r="N20" s="51">
        <v>1519.94</v>
      </c>
      <c r="O20" s="51">
        <v>1631.96</v>
      </c>
      <c r="P20" s="98"/>
      <c r="Q20" s="99"/>
    </row>
    <row r="21" spans="1:17" s="103" customFormat="1" ht="12.75">
      <c r="A21" s="136" t="s">
        <v>109</v>
      </c>
      <c r="B21" s="137" t="s">
        <v>2</v>
      </c>
      <c r="C21" s="137" t="s">
        <v>2</v>
      </c>
      <c r="D21" s="101">
        <v>915.46</v>
      </c>
      <c r="E21" s="101">
        <v>1027</v>
      </c>
      <c r="F21" s="102">
        <v>246.5</v>
      </c>
      <c r="G21" s="102">
        <v>338.94</v>
      </c>
      <c r="H21" s="103">
        <v>444.04</v>
      </c>
      <c r="I21" s="102">
        <v>614.08</v>
      </c>
      <c r="J21" s="102">
        <v>871.77</v>
      </c>
      <c r="K21" s="102">
        <v>1054.88</v>
      </c>
      <c r="L21" s="102">
        <v>1183.86</v>
      </c>
      <c r="M21" s="103">
        <v>1350.96</v>
      </c>
      <c r="N21" s="102">
        <v>1519.94</v>
      </c>
      <c r="O21" s="102">
        <v>1631.96</v>
      </c>
      <c r="P21" s="104"/>
      <c r="Q21" s="105"/>
    </row>
    <row r="22" spans="1:17" ht="12.75">
      <c r="A22" s="109"/>
      <c r="B22" s="109"/>
      <c r="C22" s="109"/>
      <c r="D22" s="109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2.75">
      <c r="A23" s="141" t="s">
        <v>110</v>
      </c>
      <c r="B23" s="142"/>
      <c r="C23" s="142"/>
      <c r="D23" s="66" t="s">
        <v>2</v>
      </c>
      <c r="E23" s="66" t="s">
        <v>2</v>
      </c>
      <c r="F23" s="95" t="s">
        <v>2</v>
      </c>
      <c r="G23" s="95" t="s">
        <v>2</v>
      </c>
      <c r="H23" s="95" t="s">
        <v>2</v>
      </c>
      <c r="I23" s="95" t="s">
        <v>2</v>
      </c>
      <c r="J23" s="95" t="s">
        <v>2</v>
      </c>
      <c r="K23" s="95" t="s">
        <v>2</v>
      </c>
      <c r="L23" s="95" t="s">
        <v>2</v>
      </c>
      <c r="M23" s="95" t="s">
        <v>2</v>
      </c>
      <c r="N23" s="95" t="s">
        <v>2</v>
      </c>
      <c r="O23" s="95" t="s">
        <v>2</v>
      </c>
      <c r="P23" s="95"/>
      <c r="Q23" s="57"/>
    </row>
    <row r="24" spans="1:17" ht="12.75">
      <c r="A24" s="138" t="s">
        <v>111</v>
      </c>
      <c r="B24" s="138" t="s">
        <v>2</v>
      </c>
      <c r="C24" s="138" t="s">
        <v>2</v>
      </c>
      <c r="D24" s="107"/>
      <c r="E24" s="107"/>
      <c r="F24" s="107"/>
      <c r="G24" s="107"/>
      <c r="H24" s="108"/>
      <c r="I24" s="107"/>
      <c r="J24" s="107"/>
      <c r="K24" s="107"/>
      <c r="L24" s="107"/>
      <c r="M24" s="108"/>
      <c r="N24" s="107"/>
      <c r="O24" s="107"/>
      <c r="Q24" s="95"/>
    </row>
    <row r="25" spans="1:17" s="97" customFormat="1" ht="15">
      <c r="A25" s="97" t="s">
        <v>2</v>
      </c>
      <c r="B25" s="138" t="s">
        <v>112</v>
      </c>
      <c r="C25" s="138" t="s">
        <v>2</v>
      </c>
      <c r="D25" s="51">
        <v>0</v>
      </c>
      <c r="E25" s="52">
        <v>0</v>
      </c>
      <c r="F25" s="52">
        <v>0</v>
      </c>
      <c r="G25" s="52">
        <v>1000</v>
      </c>
      <c r="H25" s="52">
        <v>1000</v>
      </c>
      <c r="I25" s="52">
        <v>1000</v>
      </c>
      <c r="J25" s="52">
        <v>1000</v>
      </c>
      <c r="K25" s="52">
        <v>1000</v>
      </c>
      <c r="L25" s="52">
        <v>1000</v>
      </c>
      <c r="M25" s="51">
        <v>1000</v>
      </c>
      <c r="N25" s="51">
        <v>1000</v>
      </c>
      <c r="O25" s="51">
        <v>1000</v>
      </c>
      <c r="P25" s="98"/>
      <c r="Q25" s="99"/>
    </row>
    <row r="26" spans="1:17" s="97" customFormat="1" ht="15">
      <c r="A26" s="97" t="s">
        <v>2</v>
      </c>
      <c r="B26" s="138" t="s">
        <v>113</v>
      </c>
      <c r="C26" s="138" t="s">
        <v>2</v>
      </c>
      <c r="D26" s="51">
        <v>16977.99</v>
      </c>
      <c r="E26" s="52">
        <v>16977.99</v>
      </c>
      <c r="F26" s="52">
        <v>16977.99</v>
      </c>
      <c r="G26" s="52">
        <v>16977.99</v>
      </c>
      <c r="H26" s="52">
        <v>16977.99</v>
      </c>
      <c r="I26" s="52">
        <v>16977.99</v>
      </c>
      <c r="J26" s="52">
        <v>16977.99</v>
      </c>
      <c r="K26" s="52">
        <v>16977.99</v>
      </c>
      <c r="L26" s="52">
        <v>16977.99</v>
      </c>
      <c r="M26" s="51">
        <v>16977.99</v>
      </c>
      <c r="N26" s="51">
        <v>16977.99</v>
      </c>
      <c r="O26" s="51">
        <v>16977.99</v>
      </c>
      <c r="P26" s="98"/>
      <c r="Q26" s="99"/>
    </row>
    <row r="27" spans="1:17" s="113" customFormat="1" ht="15">
      <c r="A27" s="139" t="s">
        <v>114</v>
      </c>
      <c r="B27" s="140" t="s">
        <v>2</v>
      </c>
      <c r="C27" s="140" t="s">
        <v>2</v>
      </c>
      <c r="D27" s="52">
        <v>8902.87</v>
      </c>
      <c r="E27" s="52">
        <v>8553.61</v>
      </c>
      <c r="F27" s="52">
        <v>8524.35</v>
      </c>
      <c r="G27" s="52">
        <v>8918.93</v>
      </c>
      <c r="H27" s="52">
        <v>11639.11</v>
      </c>
      <c r="I27" s="52">
        <v>13631.34</v>
      </c>
      <c r="J27" s="52">
        <v>12783.37</v>
      </c>
      <c r="K27" s="52">
        <v>13974.53</v>
      </c>
      <c r="L27" s="52">
        <v>16948.95</v>
      </c>
      <c r="M27" s="110">
        <v>15604.68</v>
      </c>
      <c r="N27" s="110">
        <v>38680.36</v>
      </c>
      <c r="O27" s="100">
        <v>41666.5</v>
      </c>
      <c r="P27" s="111"/>
      <c r="Q27" s="112"/>
    </row>
    <row r="28" spans="1:17" s="103" customFormat="1" ht="12.75">
      <c r="A28" s="136" t="s">
        <v>115</v>
      </c>
      <c r="B28" s="137" t="s">
        <v>2</v>
      </c>
      <c r="C28" s="137" t="s">
        <v>2</v>
      </c>
      <c r="D28" s="184">
        <f>SUM(D25:D27)</f>
        <v>25880.86</v>
      </c>
      <c r="E28" s="184">
        <f>SUM(E25:E27)</f>
        <v>25531.600000000002</v>
      </c>
      <c r="F28" s="184">
        <f>SUM(F25:F27)</f>
        <v>25502.340000000004</v>
      </c>
      <c r="G28" s="184">
        <f>SUM(G25:G27)</f>
        <v>26896.920000000002</v>
      </c>
      <c r="H28" s="184">
        <f>SUM(H25:H27)</f>
        <v>29617.100000000002</v>
      </c>
      <c r="I28" s="184">
        <f>SUM(I25:I27)</f>
        <v>31609.33</v>
      </c>
      <c r="J28" s="184">
        <f>SUM(J25:J27)</f>
        <v>30761.36</v>
      </c>
      <c r="K28" s="184">
        <f>SUM(K25:K27)</f>
        <v>31952.520000000004</v>
      </c>
      <c r="L28" s="184">
        <f>SUM(L25:L27)</f>
        <v>34926.94</v>
      </c>
      <c r="M28" s="184">
        <f>SUM(M25:M27)</f>
        <v>33582.67</v>
      </c>
      <c r="N28" s="184">
        <f>SUM(N25:N27)</f>
        <v>56658.350000000006</v>
      </c>
      <c r="O28" s="184">
        <f>SUM(O25:O27)</f>
        <v>59644.490000000005</v>
      </c>
      <c r="P28" s="104"/>
      <c r="Q28" s="105"/>
    </row>
    <row r="29" spans="1:15" ht="12.75">
      <c r="A29" s="109"/>
      <c r="B29" s="109"/>
      <c r="C29" s="109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109"/>
      <c r="B30" s="109"/>
      <c r="C30" s="109"/>
      <c r="D30" s="109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7" s="103" customFormat="1" ht="12.75">
      <c r="A31" s="136" t="s">
        <v>116</v>
      </c>
      <c r="B31" s="137" t="s">
        <v>2</v>
      </c>
      <c r="C31" s="137" t="s">
        <v>2</v>
      </c>
      <c r="D31" s="101">
        <f>D21+D28</f>
        <v>26796.32</v>
      </c>
      <c r="E31" s="101">
        <f aca="true" t="shared" si="0" ref="E31:O31">E21+E28</f>
        <v>26558.600000000002</v>
      </c>
      <c r="F31" s="101">
        <f t="shared" si="0"/>
        <v>25748.840000000004</v>
      </c>
      <c r="G31" s="101">
        <f t="shared" si="0"/>
        <v>27235.86</v>
      </c>
      <c r="H31" s="101">
        <f t="shared" si="0"/>
        <v>30061.140000000003</v>
      </c>
      <c r="I31" s="101">
        <f t="shared" si="0"/>
        <v>32223.410000000003</v>
      </c>
      <c r="J31" s="101">
        <f t="shared" si="0"/>
        <v>31633.13</v>
      </c>
      <c r="K31" s="101">
        <f t="shared" si="0"/>
        <v>33007.4</v>
      </c>
      <c r="L31" s="101">
        <f t="shared" si="0"/>
        <v>36110.8</v>
      </c>
      <c r="M31" s="101">
        <f t="shared" si="0"/>
        <v>34933.63</v>
      </c>
      <c r="N31" s="101">
        <f t="shared" si="0"/>
        <v>58178.29000000001</v>
      </c>
      <c r="O31" s="101">
        <f t="shared" si="0"/>
        <v>61276.450000000004</v>
      </c>
      <c r="P31" s="104"/>
      <c r="Q31" s="105"/>
    </row>
    <row r="33" spans="3:15" ht="12.75" hidden="1">
      <c r="C33" s="66" t="s">
        <v>117</v>
      </c>
      <c r="D33" s="97">
        <f>D13+D10</f>
        <v>22546.32</v>
      </c>
      <c r="E33" s="97">
        <f aca="true" t="shared" si="1" ref="E33:O33">E13+E10</f>
        <v>21291.66</v>
      </c>
      <c r="F33" s="97">
        <f t="shared" si="1"/>
        <v>21362.84</v>
      </c>
      <c r="G33" s="97">
        <f t="shared" si="1"/>
        <v>21692.559999999998</v>
      </c>
      <c r="H33" s="97">
        <f t="shared" si="1"/>
        <v>24334.54</v>
      </c>
      <c r="I33" s="97">
        <f t="shared" si="1"/>
        <v>26256.93</v>
      </c>
      <c r="J33" s="97">
        <f t="shared" si="1"/>
        <v>26095.59</v>
      </c>
      <c r="K33" s="97">
        <f t="shared" si="1"/>
        <v>27400.41</v>
      </c>
      <c r="L33" s="97">
        <f t="shared" si="1"/>
        <v>30043.06</v>
      </c>
      <c r="M33" s="97">
        <f t="shared" si="1"/>
        <v>29537.34</v>
      </c>
      <c r="N33" s="97">
        <f t="shared" si="1"/>
        <v>25681.83</v>
      </c>
      <c r="O33" s="97">
        <f t="shared" si="1"/>
        <v>24902.41</v>
      </c>
    </row>
    <row r="34" spans="16:17" s="97" customFormat="1" ht="12.75">
      <c r="P34" s="98"/>
      <c r="Q34" s="98"/>
    </row>
  </sheetData>
  <mergeCells count="22">
    <mergeCell ref="A4:C4"/>
    <mergeCell ref="A5:C5"/>
    <mergeCell ref="B6:C6"/>
    <mergeCell ref="B7:C7"/>
    <mergeCell ref="B8:C8"/>
    <mergeCell ref="B9:C9"/>
    <mergeCell ref="B10:C10"/>
    <mergeCell ref="B13:C13"/>
    <mergeCell ref="B14:C14"/>
    <mergeCell ref="A15:C15"/>
    <mergeCell ref="A17:C17"/>
    <mergeCell ref="A18:C18"/>
    <mergeCell ref="B19:C19"/>
    <mergeCell ref="B20:C20"/>
    <mergeCell ref="A21:C21"/>
    <mergeCell ref="A23:C23"/>
    <mergeCell ref="A28:C28"/>
    <mergeCell ref="A31:C31"/>
    <mergeCell ref="A24:C24"/>
    <mergeCell ref="B25:C25"/>
    <mergeCell ref="B26:C26"/>
    <mergeCell ref="A27:C27"/>
  </mergeCells>
  <printOptions gridLines="1"/>
  <pageMargins left="0.5" right="0.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workbookViewId="0" topLeftCell="A1">
      <pane xSplit="3" ySplit="1" topLeftCell="E4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4" sqref="A54:IV69"/>
    </sheetView>
  </sheetViews>
  <sheetFormatPr defaultColWidth="9.140625" defaultRowHeight="12.75"/>
  <cols>
    <col min="1" max="2" width="1.57421875" style="10" customWidth="1"/>
    <col min="3" max="3" width="23.421875" style="10" bestFit="1" customWidth="1"/>
    <col min="4" max="4" width="9.8515625" style="9" bestFit="1" customWidth="1"/>
    <col min="5" max="12" width="7.7109375" style="7" bestFit="1" customWidth="1"/>
    <col min="13" max="13" width="8.28125" style="7" bestFit="1" customWidth="1"/>
    <col min="14" max="14" width="8.7109375" style="7" bestFit="1" customWidth="1"/>
    <col min="15" max="15" width="7.7109375" style="8" bestFit="1" customWidth="1"/>
    <col min="16" max="16" width="8.57421875" style="175" bestFit="1" customWidth="1"/>
    <col min="17" max="17" width="9.7109375" style="191" customWidth="1"/>
    <col min="18" max="18" width="10.140625" style="197" customWidth="1"/>
    <col min="19" max="22" width="9.140625" style="9" customWidth="1"/>
    <col min="23" max="24" width="9.28125" style="9" bestFit="1" customWidth="1"/>
    <col min="25" max="16384" width="9.140625" style="9" customWidth="1"/>
  </cols>
  <sheetData>
    <row r="1" spans="1:18" s="55" customFormat="1" ht="38.25">
      <c r="A1" s="53" t="s">
        <v>0</v>
      </c>
      <c r="B1" s="53"/>
      <c r="C1" s="53" t="s">
        <v>0</v>
      </c>
      <c r="D1" s="35">
        <v>39417</v>
      </c>
      <c r="E1" s="36">
        <v>39448</v>
      </c>
      <c r="F1" s="36">
        <v>39479</v>
      </c>
      <c r="G1" s="36">
        <v>39508</v>
      </c>
      <c r="H1" s="36">
        <v>39539</v>
      </c>
      <c r="I1" s="36">
        <v>39569</v>
      </c>
      <c r="J1" s="36">
        <v>39600</v>
      </c>
      <c r="K1" s="36">
        <v>39630</v>
      </c>
      <c r="L1" s="36">
        <v>39661</v>
      </c>
      <c r="M1" s="36">
        <v>39692</v>
      </c>
      <c r="N1" s="36">
        <v>39722</v>
      </c>
      <c r="O1" s="37">
        <v>39753</v>
      </c>
      <c r="P1" s="172" t="s">
        <v>42</v>
      </c>
      <c r="Q1" s="185" t="s">
        <v>49</v>
      </c>
      <c r="R1" s="192" t="s">
        <v>130</v>
      </c>
    </row>
    <row r="2" spans="1:18" ht="12.75" customHeight="1">
      <c r="A2" s="145" t="s">
        <v>1</v>
      </c>
      <c r="B2" s="141"/>
      <c r="C2" s="141"/>
      <c r="D2" s="84" t="s">
        <v>2</v>
      </c>
      <c r="E2" s="84" t="s">
        <v>2</v>
      </c>
      <c r="F2" s="151" t="s">
        <v>2</v>
      </c>
      <c r="G2" s="151" t="s">
        <v>2</v>
      </c>
      <c r="H2" s="151" t="s">
        <v>2</v>
      </c>
      <c r="I2" s="151" t="s">
        <v>2</v>
      </c>
      <c r="J2" s="151" t="s">
        <v>2</v>
      </c>
      <c r="K2" s="151" t="s">
        <v>2</v>
      </c>
      <c r="L2" s="151" t="s">
        <v>2</v>
      </c>
      <c r="M2" s="151" t="s">
        <v>2</v>
      </c>
      <c r="N2" s="151" t="s">
        <v>2</v>
      </c>
      <c r="O2" s="152" t="s">
        <v>2</v>
      </c>
      <c r="P2" s="173"/>
      <c r="Q2" s="186" t="s">
        <v>2</v>
      </c>
      <c r="R2" s="193"/>
    </row>
    <row r="3" spans="1:18" ht="12.75" customHeight="1">
      <c r="A3" s="148" t="s">
        <v>3</v>
      </c>
      <c r="B3" s="94"/>
      <c r="C3" s="94" t="s">
        <v>2</v>
      </c>
      <c r="D3" s="59" t="s">
        <v>2</v>
      </c>
      <c r="E3" s="153" t="s">
        <v>2</v>
      </c>
      <c r="F3" s="154" t="s">
        <v>2</v>
      </c>
      <c r="G3" s="154" t="s">
        <v>2</v>
      </c>
      <c r="H3" s="154" t="s">
        <v>2</v>
      </c>
      <c r="I3" s="154" t="s">
        <v>2</v>
      </c>
      <c r="J3" s="154" t="s">
        <v>2</v>
      </c>
      <c r="K3" s="154" t="s">
        <v>2</v>
      </c>
      <c r="L3" s="154" t="s">
        <v>2</v>
      </c>
      <c r="M3" s="154" t="s">
        <v>2</v>
      </c>
      <c r="N3" s="154" t="s">
        <v>2</v>
      </c>
      <c r="O3" s="155" t="s">
        <v>2</v>
      </c>
      <c r="P3" s="173"/>
      <c r="Q3" s="187" t="s">
        <v>2</v>
      </c>
      <c r="R3" s="194"/>
    </row>
    <row r="4" spans="1:18" ht="12.75" customHeight="1">
      <c r="A4" s="61"/>
      <c r="B4" s="143" t="s">
        <v>4</v>
      </c>
      <c r="C4" s="144"/>
      <c r="D4" s="156" t="s">
        <v>2</v>
      </c>
      <c r="E4" s="63" t="s">
        <v>2</v>
      </c>
      <c r="F4" s="64" t="s">
        <v>2</v>
      </c>
      <c r="G4" s="64" t="s">
        <v>2</v>
      </c>
      <c r="H4" s="64" t="s">
        <v>2</v>
      </c>
      <c r="I4" s="64" t="s">
        <v>2</v>
      </c>
      <c r="J4" s="64" t="s">
        <v>2</v>
      </c>
      <c r="K4" s="64" t="s">
        <v>2</v>
      </c>
      <c r="L4" s="64" t="s">
        <v>2</v>
      </c>
      <c r="M4" s="64" t="s">
        <v>2</v>
      </c>
      <c r="N4" s="64" t="s">
        <v>2</v>
      </c>
      <c r="O4" s="65" t="s">
        <v>2</v>
      </c>
      <c r="P4" s="174"/>
      <c r="Q4" s="188"/>
      <c r="R4" s="194"/>
    </row>
    <row r="5" spans="1:18" ht="12.75" customHeight="1">
      <c r="A5" s="61" t="s">
        <v>2</v>
      </c>
      <c r="B5" s="53"/>
      <c r="C5" s="53" t="s">
        <v>5</v>
      </c>
      <c r="D5" s="86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315</v>
      </c>
      <c r="N5" s="149">
        <v>4456.85</v>
      </c>
      <c r="O5" s="150">
        <v>0</v>
      </c>
      <c r="P5" s="174"/>
      <c r="Q5" s="188"/>
      <c r="R5" s="194"/>
    </row>
    <row r="6" spans="1:18" ht="12.75" customHeight="1">
      <c r="A6" s="61" t="s">
        <v>2</v>
      </c>
      <c r="B6" s="53"/>
      <c r="C6" s="53" t="s">
        <v>6</v>
      </c>
      <c r="D6" s="86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541.94</v>
      </c>
      <c r="O6" s="150">
        <v>0</v>
      </c>
      <c r="P6" s="174"/>
      <c r="Q6" s="188">
        <f>SUM(M5:N6)</f>
        <v>5313.790000000001</v>
      </c>
      <c r="R6" s="194"/>
    </row>
    <row r="7" spans="1:18" ht="12.75" customHeight="1">
      <c r="A7" s="61" t="s">
        <v>2</v>
      </c>
      <c r="B7" s="143" t="s">
        <v>7</v>
      </c>
      <c r="C7" s="144" t="s">
        <v>2</v>
      </c>
      <c r="D7" s="86">
        <v>0</v>
      </c>
      <c r="E7" s="149">
        <v>630</v>
      </c>
      <c r="F7" s="149">
        <v>450</v>
      </c>
      <c r="G7" s="149">
        <v>0</v>
      </c>
      <c r="H7" s="149">
        <v>670</v>
      </c>
      <c r="I7" s="149">
        <v>960</v>
      </c>
      <c r="J7" s="149">
        <v>620</v>
      </c>
      <c r="K7" s="149">
        <v>0</v>
      </c>
      <c r="L7" s="149">
        <v>1015.19</v>
      </c>
      <c r="M7" s="149">
        <v>0</v>
      </c>
      <c r="N7" s="149">
        <v>1243.53</v>
      </c>
      <c r="O7" s="150">
        <v>0</v>
      </c>
      <c r="P7" s="174">
        <f>SUM(D7:O7)/12</f>
        <v>465.7266666666667</v>
      </c>
      <c r="Q7" s="188">
        <f>SUM(D7:O7)</f>
        <v>5588.72</v>
      </c>
      <c r="R7" s="195">
        <f>P7</f>
        <v>465.7266666666667</v>
      </c>
    </row>
    <row r="8" spans="1:18" s="71" customFormat="1" ht="12.75" customHeight="1">
      <c r="A8" s="67"/>
      <c r="B8" s="68"/>
      <c r="C8" s="205" t="s">
        <v>50</v>
      </c>
      <c r="D8" s="69"/>
      <c r="E8" s="70">
        <v>630</v>
      </c>
      <c r="F8" s="70"/>
      <c r="G8" s="157">
        <v>560</v>
      </c>
      <c r="H8" s="70">
        <f>520+110</f>
        <v>630</v>
      </c>
      <c r="I8" s="70">
        <f>250+190</f>
        <v>440</v>
      </c>
      <c r="J8" s="70">
        <v>620</v>
      </c>
      <c r="K8" s="157">
        <v>510</v>
      </c>
      <c r="L8" s="70">
        <v>510</v>
      </c>
      <c r="M8" s="157">
        <v>660</v>
      </c>
      <c r="N8" s="70">
        <v>580</v>
      </c>
      <c r="O8" s="158">
        <v>230</v>
      </c>
      <c r="P8" s="182"/>
      <c r="Q8" s="189">
        <f>SUM(D8:O8)</f>
        <v>5370</v>
      </c>
      <c r="R8" s="195"/>
    </row>
    <row r="9" spans="1:18" ht="12.75" customHeight="1">
      <c r="A9" s="61" t="s">
        <v>2</v>
      </c>
      <c r="B9" s="143" t="s">
        <v>74</v>
      </c>
      <c r="C9" s="144" t="s">
        <v>2</v>
      </c>
      <c r="D9" s="86">
        <v>325</v>
      </c>
      <c r="E9" s="149">
        <v>526</v>
      </c>
      <c r="F9" s="149">
        <v>574</v>
      </c>
      <c r="G9" s="149">
        <v>598</v>
      </c>
      <c r="H9" s="149">
        <v>418</v>
      </c>
      <c r="I9" s="149">
        <v>396</v>
      </c>
      <c r="J9" s="149">
        <v>510</v>
      </c>
      <c r="K9" s="149">
        <v>1032.68</v>
      </c>
      <c r="L9" s="149">
        <v>805.04</v>
      </c>
      <c r="M9" s="149">
        <v>470.34</v>
      </c>
      <c r="N9" s="149">
        <v>455.46</v>
      </c>
      <c r="O9" s="150">
        <v>475.27</v>
      </c>
      <c r="P9" s="174">
        <f>SUM(D9:O9)/12</f>
        <v>548.8158333333334</v>
      </c>
      <c r="Q9" s="188">
        <f>SUM(D9:O9)</f>
        <v>6585.790000000001</v>
      </c>
      <c r="R9" s="195">
        <f>P9</f>
        <v>548.8158333333334</v>
      </c>
    </row>
    <row r="10" spans="1:18" s="74" customFormat="1" ht="12.75" customHeight="1">
      <c r="A10" s="58"/>
      <c r="B10" s="72"/>
      <c r="C10" s="206" t="s">
        <v>37</v>
      </c>
      <c r="D10" s="69">
        <v>65</v>
      </c>
      <c r="E10" s="69">
        <f aca="true" t="shared" si="0" ref="E10:O10">E9/5</f>
        <v>105.2</v>
      </c>
      <c r="F10" s="69">
        <f t="shared" si="0"/>
        <v>114.8</v>
      </c>
      <c r="G10" s="69">
        <f t="shared" si="0"/>
        <v>119.6</v>
      </c>
      <c r="H10" s="69">
        <f t="shared" si="0"/>
        <v>83.6</v>
      </c>
      <c r="I10" s="69">
        <f t="shared" si="0"/>
        <v>79.2</v>
      </c>
      <c r="J10" s="69">
        <f t="shared" si="0"/>
        <v>102</v>
      </c>
      <c r="K10" s="69">
        <f t="shared" si="0"/>
        <v>206.536</v>
      </c>
      <c r="L10" s="69">
        <f t="shared" si="0"/>
        <v>161.00799999999998</v>
      </c>
      <c r="M10" s="69">
        <f t="shared" si="0"/>
        <v>94.068</v>
      </c>
      <c r="N10" s="69">
        <f t="shared" si="0"/>
        <v>91.092</v>
      </c>
      <c r="O10" s="73">
        <f t="shared" si="0"/>
        <v>95.054</v>
      </c>
      <c r="P10" s="183">
        <f>SUM(D10:O10)/12</f>
        <v>109.76316666666669</v>
      </c>
      <c r="Q10" s="189">
        <f>SUM(D10:O10)</f>
        <v>1317.1580000000004</v>
      </c>
      <c r="R10" s="195"/>
    </row>
    <row r="11" spans="1:18" s="74" customFormat="1" ht="12.75" customHeight="1">
      <c r="A11" s="58"/>
      <c r="B11" s="72"/>
      <c r="C11" s="206" t="s">
        <v>124</v>
      </c>
      <c r="D11" s="69">
        <v>68</v>
      </c>
      <c r="E11" s="69">
        <v>23</v>
      </c>
      <c r="F11" s="69">
        <v>83</v>
      </c>
      <c r="G11" s="69">
        <v>111</v>
      </c>
      <c r="H11" s="69">
        <v>111</v>
      </c>
      <c r="I11" s="69">
        <v>76</v>
      </c>
      <c r="J11" s="69">
        <v>126</v>
      </c>
      <c r="K11" s="69">
        <v>226</v>
      </c>
      <c r="L11" s="69">
        <v>159</v>
      </c>
      <c r="M11" s="69">
        <v>92</v>
      </c>
      <c r="N11" s="69">
        <v>130</v>
      </c>
      <c r="O11" s="73">
        <v>88</v>
      </c>
      <c r="P11" s="183">
        <f>SUM(D11:O11)/12</f>
        <v>107.75</v>
      </c>
      <c r="Q11" s="189">
        <f>SUM(D11:O11)</f>
        <v>1293</v>
      </c>
      <c r="R11" s="195"/>
    </row>
    <row r="12" spans="1:18" ht="12.75" customHeight="1">
      <c r="A12" s="61" t="s">
        <v>2</v>
      </c>
      <c r="B12" s="143" t="s">
        <v>35</v>
      </c>
      <c r="C12" s="144" t="s">
        <v>2</v>
      </c>
      <c r="D12" s="86">
        <v>1124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50">
        <v>0</v>
      </c>
      <c r="P12" s="174"/>
      <c r="Q12" s="188">
        <f>SUM(D12:O12)</f>
        <v>1124</v>
      </c>
      <c r="R12" s="195"/>
    </row>
    <row r="13" spans="1:18" ht="12.75" customHeight="1">
      <c r="A13" s="61" t="s">
        <v>2</v>
      </c>
      <c r="B13" s="143" t="s">
        <v>8</v>
      </c>
      <c r="C13" s="144" t="s">
        <v>2</v>
      </c>
      <c r="D13" s="86">
        <v>0</v>
      </c>
      <c r="E13" s="149">
        <v>15</v>
      </c>
      <c r="F13" s="149">
        <v>121</v>
      </c>
      <c r="G13" s="149">
        <v>0</v>
      </c>
      <c r="H13" s="149">
        <v>0</v>
      </c>
      <c r="I13" s="149">
        <v>133</v>
      </c>
      <c r="J13" s="149">
        <v>0</v>
      </c>
      <c r="K13" s="149">
        <v>40</v>
      </c>
      <c r="L13" s="149">
        <v>869.08</v>
      </c>
      <c r="M13" s="149">
        <v>302.86</v>
      </c>
      <c r="N13" s="149">
        <v>17739.92</v>
      </c>
      <c r="O13" s="150">
        <v>4463.45</v>
      </c>
      <c r="P13" s="174"/>
      <c r="Q13" s="188">
        <f>SUM(D13:O13)</f>
        <v>23684.309999999998</v>
      </c>
      <c r="R13" s="195"/>
    </row>
    <row r="14" spans="1:18" ht="12.75" customHeight="1">
      <c r="A14" s="61" t="s">
        <v>2</v>
      </c>
      <c r="B14" s="143" t="s">
        <v>9</v>
      </c>
      <c r="C14" s="144" t="s">
        <v>2</v>
      </c>
      <c r="D14" s="86">
        <v>0.96</v>
      </c>
      <c r="E14" s="149">
        <v>0.95</v>
      </c>
      <c r="F14" s="149">
        <v>0.89</v>
      </c>
      <c r="G14" s="149">
        <v>0.96</v>
      </c>
      <c r="H14" s="149">
        <v>0.92</v>
      </c>
      <c r="I14" s="149">
        <v>0.96</v>
      </c>
      <c r="J14" s="149">
        <v>0.93</v>
      </c>
      <c r="K14" s="149">
        <v>0.95</v>
      </c>
      <c r="L14" s="149">
        <v>0.96</v>
      </c>
      <c r="M14" s="149">
        <v>0.93</v>
      </c>
      <c r="N14" s="149">
        <v>6.64</v>
      </c>
      <c r="O14" s="150">
        <v>6.69</v>
      </c>
      <c r="P14" s="174">
        <f>SUM(D14:O14)/12</f>
        <v>1.8950000000000002</v>
      </c>
      <c r="Q14" s="188">
        <f>SUM(D14:O14)</f>
        <v>22.740000000000002</v>
      </c>
      <c r="R14" s="195">
        <v>1</v>
      </c>
    </row>
    <row r="15" spans="1:18" ht="12.75" customHeight="1">
      <c r="A15" s="61" t="s">
        <v>2</v>
      </c>
      <c r="B15" s="143" t="s">
        <v>75</v>
      </c>
      <c r="C15" s="144" t="s">
        <v>2</v>
      </c>
      <c r="D15" s="86">
        <v>965</v>
      </c>
      <c r="E15" s="149">
        <v>1091</v>
      </c>
      <c r="F15" s="149">
        <v>997</v>
      </c>
      <c r="G15" s="149">
        <v>1460</v>
      </c>
      <c r="H15" s="149">
        <v>1189</v>
      </c>
      <c r="I15" s="149">
        <v>1434</v>
      </c>
      <c r="J15" s="149">
        <v>1577</v>
      </c>
      <c r="K15" s="149">
        <v>1698.14</v>
      </c>
      <c r="L15" s="149">
        <v>2314.76</v>
      </c>
      <c r="M15" s="149">
        <v>2066.79</v>
      </c>
      <c r="N15" s="149">
        <v>1749.35</v>
      </c>
      <c r="O15" s="150">
        <v>803.23</v>
      </c>
      <c r="P15" s="174">
        <f>SUM(D15:O15)/12</f>
        <v>1445.4391666666663</v>
      </c>
      <c r="Q15" s="188">
        <f>SUM(D15:O15)</f>
        <v>17345.269999999997</v>
      </c>
      <c r="R15" s="195">
        <f>P15</f>
        <v>1445.4391666666663</v>
      </c>
    </row>
    <row r="16" spans="1:18" s="74" customFormat="1" ht="12.75" customHeight="1">
      <c r="A16" s="58"/>
      <c r="B16" s="72"/>
      <c r="C16" s="206" t="s">
        <v>38</v>
      </c>
      <c r="D16" s="69">
        <f>D15/30</f>
        <v>32.166666666666664</v>
      </c>
      <c r="E16" s="69">
        <f>E15/30</f>
        <v>36.36666666666667</v>
      </c>
      <c r="F16" s="69">
        <f>F15/30</f>
        <v>33.233333333333334</v>
      </c>
      <c r="G16" s="69">
        <f>G15/30</f>
        <v>48.666666666666664</v>
      </c>
      <c r="H16" s="69">
        <f>H15/30</f>
        <v>39.63333333333333</v>
      </c>
      <c r="I16" s="69">
        <f aca="true" t="shared" si="1" ref="I16:O16">I15/40</f>
        <v>35.85</v>
      </c>
      <c r="J16" s="69">
        <f t="shared" si="1"/>
        <v>39.425</v>
      </c>
      <c r="K16" s="69">
        <f t="shared" si="1"/>
        <v>42.453500000000005</v>
      </c>
      <c r="L16" s="69">
        <f t="shared" si="1"/>
        <v>57.86900000000001</v>
      </c>
      <c r="M16" s="69">
        <f t="shared" si="1"/>
        <v>51.66975</v>
      </c>
      <c r="N16" s="69">
        <f t="shared" si="1"/>
        <v>43.73375</v>
      </c>
      <c r="O16" s="73">
        <f t="shared" si="1"/>
        <v>20.080750000000002</v>
      </c>
      <c r="P16" s="183">
        <f>SUM(D16:O16)/12</f>
        <v>40.09570138888889</v>
      </c>
      <c r="Q16" s="189">
        <f>SUM(D16:O16)</f>
        <v>481.1484166666667</v>
      </c>
      <c r="R16" s="195"/>
    </row>
    <row r="17" spans="1:18" ht="12.75" customHeight="1">
      <c r="A17" s="61" t="s">
        <v>2</v>
      </c>
      <c r="B17" s="143" t="s">
        <v>6</v>
      </c>
      <c r="C17" s="144" t="s">
        <v>2</v>
      </c>
      <c r="D17" s="86">
        <v>0</v>
      </c>
      <c r="E17" s="149">
        <v>0</v>
      </c>
      <c r="F17" s="149">
        <v>0</v>
      </c>
      <c r="G17" s="149">
        <v>0</v>
      </c>
      <c r="H17" s="149">
        <v>2000</v>
      </c>
      <c r="I17" s="149">
        <v>0</v>
      </c>
      <c r="J17" s="149">
        <v>0</v>
      </c>
      <c r="K17" s="149">
        <v>0</v>
      </c>
      <c r="L17" s="149">
        <v>0</v>
      </c>
      <c r="M17" s="149">
        <v>574.03</v>
      </c>
      <c r="N17" s="149">
        <v>188.34</v>
      </c>
      <c r="O17" s="150">
        <v>36.72</v>
      </c>
      <c r="P17" s="174">
        <f>SUM(M17:O17)/3</f>
        <v>266.36333333333334</v>
      </c>
      <c r="Q17" s="188">
        <f>SUM(D17:O17)</f>
        <v>2799.0899999999997</v>
      </c>
      <c r="R17" s="195"/>
    </row>
    <row r="18" spans="1:18" ht="12.75" customHeight="1">
      <c r="A18" s="61" t="s">
        <v>2</v>
      </c>
      <c r="B18" s="143" t="s">
        <v>76</v>
      </c>
      <c r="C18" s="144" t="s">
        <v>2</v>
      </c>
      <c r="D18" s="86">
        <v>250.24</v>
      </c>
      <c r="E18" s="149">
        <v>562.84</v>
      </c>
      <c r="F18" s="149">
        <v>507.45</v>
      </c>
      <c r="G18" s="149">
        <v>603.54</v>
      </c>
      <c r="H18" s="149">
        <v>622</v>
      </c>
      <c r="I18" s="149">
        <v>842.39</v>
      </c>
      <c r="J18" s="149">
        <v>559.38</v>
      </c>
      <c r="K18" s="149">
        <v>738.73</v>
      </c>
      <c r="L18" s="149">
        <v>832.11</v>
      </c>
      <c r="M18" s="149">
        <v>226.81</v>
      </c>
      <c r="N18" s="149">
        <v>801.28</v>
      </c>
      <c r="O18" s="150">
        <v>376.34</v>
      </c>
      <c r="P18" s="174">
        <f>SUM(D18:O18)/12</f>
        <v>576.9258333333333</v>
      </c>
      <c r="Q18" s="188">
        <f>SUM(D18:O18)</f>
        <v>6923.11</v>
      </c>
      <c r="R18" s="195">
        <f>P18</f>
        <v>576.9258333333333</v>
      </c>
    </row>
    <row r="19" spans="1:18" ht="12.75" customHeight="1">
      <c r="A19" s="61" t="s">
        <v>2</v>
      </c>
      <c r="B19" s="143" t="s">
        <v>70</v>
      </c>
      <c r="C19" s="147" t="s">
        <v>2</v>
      </c>
      <c r="D19" s="86">
        <v>0</v>
      </c>
      <c r="E19" s="149">
        <v>0</v>
      </c>
      <c r="F19" s="149">
        <v>0</v>
      </c>
      <c r="G19" s="149">
        <v>16.38</v>
      </c>
      <c r="H19" s="149">
        <v>32.59</v>
      </c>
      <c r="I19" s="149">
        <v>43.32</v>
      </c>
      <c r="J19" s="149">
        <v>112.68</v>
      </c>
      <c r="K19" s="149">
        <v>102.26</v>
      </c>
      <c r="L19" s="149">
        <v>20.33</v>
      </c>
      <c r="M19" s="149">
        <v>25.88</v>
      </c>
      <c r="N19" s="149">
        <v>15.36</v>
      </c>
      <c r="O19" s="150">
        <v>36.18</v>
      </c>
      <c r="P19" s="174">
        <f>SUM(D19:O19)/12</f>
        <v>33.748333333333335</v>
      </c>
      <c r="Q19" s="188">
        <f aca="true" t="shared" si="2" ref="Q19:Q24">SUM(D19:O19)</f>
        <v>404.98</v>
      </c>
      <c r="R19" s="195">
        <f>P19</f>
        <v>33.748333333333335</v>
      </c>
    </row>
    <row r="20" spans="1:18" s="74" customFormat="1" ht="12.75" customHeight="1">
      <c r="A20" s="58"/>
      <c r="B20" s="72"/>
      <c r="C20" s="206" t="s">
        <v>40</v>
      </c>
      <c r="D20" s="75"/>
      <c r="E20" s="75"/>
      <c r="F20" s="75"/>
      <c r="G20" s="70">
        <v>647.59</v>
      </c>
      <c r="H20" s="70">
        <v>765.47</v>
      </c>
      <c r="I20" s="70">
        <v>1221.5</v>
      </c>
      <c r="J20" s="70">
        <v>1548.34</v>
      </c>
      <c r="K20" s="70">
        <v>1270.86</v>
      </c>
      <c r="L20" s="70">
        <v>503.59</v>
      </c>
      <c r="M20" s="70">
        <v>598.7</v>
      </c>
      <c r="N20" s="70">
        <v>403.13</v>
      </c>
      <c r="O20" s="76">
        <v>389.26</v>
      </c>
      <c r="P20" s="183">
        <f>SUM(D20:O20)/12</f>
        <v>612.37</v>
      </c>
      <c r="Q20" s="189">
        <f t="shared" si="2"/>
        <v>7348.44</v>
      </c>
      <c r="R20" s="195"/>
    </row>
    <row r="21" spans="1:18" s="74" customFormat="1" ht="12.75" customHeight="1">
      <c r="A21" s="58"/>
      <c r="B21" s="72"/>
      <c r="C21" s="206" t="s">
        <v>39</v>
      </c>
      <c r="D21" s="75"/>
      <c r="E21" s="75"/>
      <c r="F21" s="75"/>
      <c r="G21" s="70">
        <v>490.29</v>
      </c>
      <c r="H21" s="70">
        <v>582.17</v>
      </c>
      <c r="I21" s="70">
        <v>1114.62</v>
      </c>
      <c r="J21" s="70">
        <v>1977.28</v>
      </c>
      <c r="K21" s="70">
        <v>1201.26</v>
      </c>
      <c r="L21" s="70">
        <v>411.92</v>
      </c>
      <c r="M21" s="70">
        <v>459.67</v>
      </c>
      <c r="N21" s="70">
        <v>375.13</v>
      </c>
      <c r="O21" s="76">
        <v>636.92</v>
      </c>
      <c r="P21" s="183">
        <f>SUM(D21:O21)/12</f>
        <v>604.105</v>
      </c>
      <c r="Q21" s="189">
        <f t="shared" si="2"/>
        <v>7249.26</v>
      </c>
      <c r="R21" s="195"/>
    </row>
    <row r="22" spans="1:24" s="74" customFormat="1" ht="12.75" customHeight="1">
      <c r="A22" s="58"/>
      <c r="B22" s="72"/>
      <c r="C22" s="206" t="s">
        <v>41</v>
      </c>
      <c r="D22" s="75"/>
      <c r="E22" s="75"/>
      <c r="F22" s="75"/>
      <c r="G22" s="70">
        <f aca="true" t="shared" si="3" ref="G22:O22">G20-G21</f>
        <v>157.3</v>
      </c>
      <c r="H22" s="70">
        <f t="shared" si="3"/>
        <v>183.30000000000007</v>
      </c>
      <c r="I22" s="70">
        <f t="shared" si="3"/>
        <v>106.88000000000011</v>
      </c>
      <c r="J22" s="70">
        <f t="shared" si="3"/>
        <v>-428.94000000000005</v>
      </c>
      <c r="K22" s="70">
        <f t="shared" si="3"/>
        <v>69.59999999999991</v>
      </c>
      <c r="L22" s="70">
        <f t="shared" si="3"/>
        <v>91.66999999999996</v>
      </c>
      <c r="M22" s="70">
        <f t="shared" si="3"/>
        <v>139.03000000000003</v>
      </c>
      <c r="N22" s="70">
        <f t="shared" si="3"/>
        <v>28</v>
      </c>
      <c r="O22" s="76">
        <f t="shared" si="3"/>
        <v>-247.65999999999997</v>
      </c>
      <c r="P22" s="183">
        <f>SUM(D22:O22)/12</f>
        <v>8.265000000000006</v>
      </c>
      <c r="Q22" s="189">
        <f t="shared" si="2"/>
        <v>99.18000000000006</v>
      </c>
      <c r="R22" s="195"/>
      <c r="W22" s="77"/>
      <c r="X22" s="78"/>
    </row>
    <row r="23" spans="1:24" ht="12.75" customHeight="1">
      <c r="A23" s="61" t="s">
        <v>2</v>
      </c>
      <c r="B23" s="143" t="s">
        <v>10</v>
      </c>
      <c r="C23" s="144" t="s">
        <v>2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12.36</v>
      </c>
      <c r="L23" s="79">
        <v>0</v>
      </c>
      <c r="M23" s="79">
        <v>0</v>
      </c>
      <c r="N23" s="159">
        <v>0</v>
      </c>
      <c r="O23" s="160">
        <v>0</v>
      </c>
      <c r="P23" s="174"/>
      <c r="Q23" s="188">
        <f t="shared" si="2"/>
        <v>12.36</v>
      </c>
      <c r="R23" s="195"/>
      <c r="W23" s="80"/>
      <c r="X23" s="81"/>
    </row>
    <row r="24" spans="1:18" ht="12.75" customHeight="1">
      <c r="A24" s="148" t="s">
        <v>11</v>
      </c>
      <c r="B24" s="119"/>
      <c r="C24" s="119" t="s">
        <v>2</v>
      </c>
      <c r="D24" s="177">
        <f>$D$5+$D$6+$D$7+$D$9+$D$12+$D$13+$D$14+$D$15+$D$17+$D$18+$D$19</f>
        <v>2665.2</v>
      </c>
      <c r="E24" s="101">
        <f>$E$5+$E$6+$E$7+$E$9+$E$12+$E$13+$E$14+$E$15+$E$17+$E$18+$E$19+$E$23</f>
        <v>2825.79</v>
      </c>
      <c r="F24" s="101">
        <f>$F$5+$F$6+$F$7+$F$9+$F$12+$F$13+$F$14+$F$15+$F$17+$F$18+$F$19+$F$23</f>
        <v>2650.34</v>
      </c>
      <c r="G24" s="101">
        <f>$G$5+$G$6+$G$7+$G$9+$G$12+$G$13+$G$14+$G$15+$G$17+$G$18+$G$19+$G$23</f>
        <v>2678.88</v>
      </c>
      <c r="H24" s="101">
        <f>$H$5+$H$6+$H$7+$H$9+$H$12+$H$13+$H$14+$H$15+$H$17+$H$18+$H$19+$H$23</f>
        <v>4932.51</v>
      </c>
      <c r="I24" s="101">
        <f>$I$5+$I$6+$I$7+$I$9+$I$12+$I$13+$I$14+$I$15+$I$17+$I$18+$I$19+$I$23</f>
        <v>3809.67</v>
      </c>
      <c r="J24" s="101">
        <f>$J$5+$J$6+$J$7+$J$9+$J$12+$J$13+$J$14+$J$15+$J$17+$J$18+$J$19+$J$23</f>
        <v>3379.9900000000002</v>
      </c>
      <c r="K24" s="101">
        <f>$K$5+$K$6+$K$7+$K$9+$K$12+$K$13+$K$14+$K$15+$K$17+$K$18+$K$19+$K$23</f>
        <v>3625.120000000001</v>
      </c>
      <c r="L24" s="101">
        <f>L5+L6+L7+L9+L12+L13+L14+L15+L17+L18+L19+L23</f>
        <v>5857.47</v>
      </c>
      <c r="M24" s="101">
        <f>$M$5+$M$6+$M$7+$M$9+$M$12+$M$13+$M$14+$M$15+$M$17+$M$18+$M$19+$M$23</f>
        <v>3982.64</v>
      </c>
      <c r="N24" s="101">
        <f>$N$5+$N$6+$N$7+$N$9+$N$12+$N$13+$N$14+$N$15+$N$17+$N$18+$N$19+$N$23</f>
        <v>27198.669999999995</v>
      </c>
      <c r="O24" s="208">
        <f>$O$5+$O$6+$O$7+$O$9+$O$12+$O$13+$O$14+$O$15+$O$17+$O$18+$O$19+$O$23</f>
        <v>6197.88</v>
      </c>
      <c r="P24" s="179">
        <f>SUM(D24:O24)/12</f>
        <v>5817.013333333333</v>
      </c>
      <c r="Q24" s="190">
        <f t="shared" si="2"/>
        <v>69804.16</v>
      </c>
      <c r="R24" s="209">
        <f>SUM(R4:R23)</f>
        <v>3071.6558333333332</v>
      </c>
    </row>
    <row r="25" spans="1:18" ht="12.75" customHeight="1">
      <c r="A25" s="61"/>
      <c r="B25" s="53"/>
      <c r="C25" s="53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  <c r="P25" s="174"/>
      <c r="Q25" s="188"/>
      <c r="R25" s="195"/>
    </row>
    <row r="26" spans="1:18" ht="12.75" customHeight="1">
      <c r="A26" s="145" t="s">
        <v>12</v>
      </c>
      <c r="B26" s="146"/>
      <c r="C26" s="146" t="s">
        <v>2</v>
      </c>
      <c r="D26" s="163" t="s">
        <v>2</v>
      </c>
      <c r="E26" s="151" t="s">
        <v>2</v>
      </c>
      <c r="F26" s="151" t="s">
        <v>2</v>
      </c>
      <c r="G26" s="151" t="s">
        <v>2</v>
      </c>
      <c r="H26" s="151" t="s">
        <v>2</v>
      </c>
      <c r="I26" s="151"/>
      <c r="J26" s="151"/>
      <c r="K26" s="164"/>
      <c r="L26" s="164"/>
      <c r="M26" s="164"/>
      <c r="N26" s="164"/>
      <c r="O26" s="165"/>
      <c r="P26" s="174"/>
      <c r="Q26" s="186" t="s">
        <v>2</v>
      </c>
      <c r="R26" s="195"/>
    </row>
    <row r="27" spans="1:18" ht="12.75" customHeight="1">
      <c r="A27" s="148" t="s">
        <v>13</v>
      </c>
      <c r="B27" s="119"/>
      <c r="C27" s="119" t="s">
        <v>2</v>
      </c>
      <c r="D27" s="84" t="s">
        <v>2</v>
      </c>
      <c r="E27" s="151" t="s">
        <v>2</v>
      </c>
      <c r="F27" s="151" t="s">
        <v>2</v>
      </c>
      <c r="G27" s="151"/>
      <c r="H27" s="151" t="s">
        <v>2</v>
      </c>
      <c r="I27" s="151" t="s">
        <v>2</v>
      </c>
      <c r="J27" s="151" t="s">
        <v>2</v>
      </c>
      <c r="K27" s="151" t="s">
        <v>2</v>
      </c>
      <c r="L27" s="151" t="s">
        <v>2</v>
      </c>
      <c r="M27" s="151" t="s">
        <v>2</v>
      </c>
      <c r="N27" s="151" t="s">
        <v>2</v>
      </c>
      <c r="O27" s="152" t="s">
        <v>2</v>
      </c>
      <c r="P27" s="174"/>
      <c r="Q27" s="187" t="s">
        <v>2</v>
      </c>
      <c r="R27" s="195"/>
    </row>
    <row r="28" spans="1:18" ht="12.75" customHeight="1">
      <c r="A28" s="61" t="s">
        <v>2</v>
      </c>
      <c r="B28" s="143" t="s">
        <v>14</v>
      </c>
      <c r="C28" s="144" t="s">
        <v>2</v>
      </c>
      <c r="D28" s="86">
        <v>20</v>
      </c>
      <c r="E28" s="149">
        <v>0</v>
      </c>
      <c r="F28" s="149">
        <v>13.15</v>
      </c>
      <c r="G28" s="149">
        <v>19.62</v>
      </c>
      <c r="H28" s="149">
        <v>112.3</v>
      </c>
      <c r="I28" s="149">
        <v>10</v>
      </c>
      <c r="J28" s="149">
        <v>24.64</v>
      </c>
      <c r="K28" s="149">
        <v>0</v>
      </c>
      <c r="L28" s="149">
        <v>0</v>
      </c>
      <c r="M28" s="149">
        <v>0</v>
      </c>
      <c r="N28" s="149">
        <v>20.84</v>
      </c>
      <c r="O28" s="150">
        <v>50</v>
      </c>
      <c r="P28" s="174">
        <f>SUM(D28:O28)/12</f>
        <v>22.54583333333333</v>
      </c>
      <c r="Q28" s="188">
        <f>SUM(D28:O28)</f>
        <v>270.54999999999995</v>
      </c>
      <c r="R28" s="195">
        <f>P28</f>
        <v>22.54583333333333</v>
      </c>
    </row>
    <row r="29" spans="1:18" ht="12.75" customHeight="1">
      <c r="A29" s="61"/>
      <c r="B29" s="53" t="s">
        <v>79</v>
      </c>
      <c r="C29" s="62"/>
      <c r="D29" s="86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50">
        <v>99.18</v>
      </c>
      <c r="P29" s="174"/>
      <c r="Q29" s="188">
        <f>SUM(D29:O29)</f>
        <v>99.18</v>
      </c>
      <c r="R29" s="195">
        <f>0.01*P20</f>
        <v>6.1237</v>
      </c>
    </row>
    <row r="30" spans="1:18" ht="12.75" customHeight="1">
      <c r="A30" s="61" t="s">
        <v>2</v>
      </c>
      <c r="B30" s="143" t="s">
        <v>15</v>
      </c>
      <c r="C30" s="144" t="s">
        <v>2</v>
      </c>
      <c r="D30" s="86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11.55</v>
      </c>
      <c r="O30" s="150">
        <v>0</v>
      </c>
      <c r="P30" s="174"/>
      <c r="Q30" s="188">
        <f>SUM(D30:O30)</f>
        <v>11.55</v>
      </c>
      <c r="R30" s="195"/>
    </row>
    <row r="31" spans="1:18" ht="12.75" customHeight="1">
      <c r="A31" s="61" t="s">
        <v>2</v>
      </c>
      <c r="B31" s="143" t="s">
        <v>16</v>
      </c>
      <c r="C31" s="144" t="s">
        <v>2</v>
      </c>
      <c r="D31" s="86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500</v>
      </c>
      <c r="M31" s="149">
        <v>0</v>
      </c>
      <c r="N31" s="149">
        <v>999.13</v>
      </c>
      <c r="O31" s="150">
        <v>38</v>
      </c>
      <c r="P31" s="174"/>
      <c r="Q31" s="188">
        <f>SUM(D31:O31)</f>
        <v>1537.13</v>
      </c>
      <c r="R31" s="195"/>
    </row>
    <row r="32" spans="1:18" ht="12.75" customHeight="1">
      <c r="A32" s="61" t="s">
        <v>2</v>
      </c>
      <c r="B32" s="143" t="s">
        <v>17</v>
      </c>
      <c r="C32" s="144" t="s">
        <v>2</v>
      </c>
      <c r="D32" s="86">
        <v>0</v>
      </c>
      <c r="E32" s="149">
        <v>75.45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50">
        <v>0</v>
      </c>
      <c r="P32" s="174"/>
      <c r="Q32" s="188">
        <f>SUM(D32:O32)</f>
        <v>75.45</v>
      </c>
      <c r="R32" s="195"/>
    </row>
    <row r="33" spans="1:18" ht="12.75" customHeight="1">
      <c r="A33" s="61" t="s">
        <v>2</v>
      </c>
      <c r="B33" s="143" t="s">
        <v>18</v>
      </c>
      <c r="C33" s="144" t="s">
        <v>2</v>
      </c>
      <c r="D33" s="86">
        <v>34.95</v>
      </c>
      <c r="E33" s="149">
        <v>236.82</v>
      </c>
      <c r="F33" s="149">
        <v>59.95</v>
      </c>
      <c r="G33" s="149">
        <v>120.43</v>
      </c>
      <c r="H33" s="149">
        <v>82.19</v>
      </c>
      <c r="I33" s="149">
        <v>134.71</v>
      </c>
      <c r="J33" s="149">
        <v>84.95</v>
      </c>
      <c r="K33" s="149">
        <v>84.77</v>
      </c>
      <c r="L33" s="149">
        <v>114.83</v>
      </c>
      <c r="M33" s="149">
        <v>119.61</v>
      </c>
      <c r="N33" s="149">
        <v>115.29</v>
      </c>
      <c r="O33" s="150">
        <v>59.95</v>
      </c>
      <c r="P33" s="174">
        <f>SUM(D33:O33)/12</f>
        <v>104.03750000000001</v>
      </c>
      <c r="Q33" s="188">
        <f>SUM(D33:O33)</f>
        <v>1248.45</v>
      </c>
      <c r="R33" s="195">
        <f>P33</f>
        <v>104.03750000000001</v>
      </c>
    </row>
    <row r="34" spans="1:18" ht="12.75" customHeight="1">
      <c r="A34" s="61" t="s">
        <v>2</v>
      </c>
      <c r="B34" s="143" t="s">
        <v>19</v>
      </c>
      <c r="C34" s="144" t="s">
        <v>2</v>
      </c>
      <c r="D34" s="86">
        <v>77.98</v>
      </c>
      <c r="E34" s="149">
        <v>45.92</v>
      </c>
      <c r="F34" s="149">
        <v>72.46</v>
      </c>
      <c r="G34" s="149">
        <v>0</v>
      </c>
      <c r="H34" s="149">
        <v>0</v>
      </c>
      <c r="I34" s="149">
        <v>0</v>
      </c>
      <c r="J34" s="149">
        <v>44.28</v>
      </c>
      <c r="K34" s="149">
        <v>54.8</v>
      </c>
      <c r="L34" s="149">
        <v>0</v>
      </c>
      <c r="M34" s="149">
        <v>0</v>
      </c>
      <c r="N34" s="149">
        <v>19.1</v>
      </c>
      <c r="O34" s="150">
        <v>122.89</v>
      </c>
      <c r="P34" s="174">
        <f>SUM(D34:O34)/12</f>
        <v>36.4525</v>
      </c>
      <c r="Q34" s="188">
        <f>SUM(D34:O34)</f>
        <v>437.43</v>
      </c>
      <c r="R34" s="195">
        <f>P34</f>
        <v>36.4525</v>
      </c>
    </row>
    <row r="35" spans="1:18" ht="12.75" customHeight="1">
      <c r="A35" s="61" t="s">
        <v>2</v>
      </c>
      <c r="B35" s="143" t="s">
        <v>20</v>
      </c>
      <c r="C35" s="144" t="s">
        <v>2</v>
      </c>
      <c r="D35" s="86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40.15</v>
      </c>
      <c r="L35" s="149">
        <v>0</v>
      </c>
      <c r="M35" s="149">
        <v>1428.34</v>
      </c>
      <c r="N35" s="149">
        <v>532.41</v>
      </c>
      <c r="O35" s="150">
        <v>201.03</v>
      </c>
      <c r="P35" s="174"/>
      <c r="Q35" s="188">
        <f>SUM(D35:O35)</f>
        <v>2201.9300000000003</v>
      </c>
      <c r="R35" s="195"/>
    </row>
    <row r="36" spans="1:18" ht="12.75" customHeight="1">
      <c r="A36" s="61" t="s">
        <v>2</v>
      </c>
      <c r="B36" s="143" t="s">
        <v>21</v>
      </c>
      <c r="C36" s="144" t="s">
        <v>2</v>
      </c>
      <c r="D36" s="86">
        <v>142.52</v>
      </c>
      <c r="E36" s="149">
        <v>242.9</v>
      </c>
      <c r="F36" s="149">
        <v>121.45</v>
      </c>
      <c r="G36" s="149">
        <v>121.45</v>
      </c>
      <c r="H36" s="149">
        <v>121.45</v>
      </c>
      <c r="I36" s="149">
        <v>0</v>
      </c>
      <c r="J36" s="149">
        <v>1800</v>
      </c>
      <c r="K36" s="149">
        <v>0</v>
      </c>
      <c r="L36" s="149">
        <v>0</v>
      </c>
      <c r="M36" s="149">
        <v>0</v>
      </c>
      <c r="N36" s="149">
        <v>0</v>
      </c>
      <c r="O36" s="150">
        <v>0</v>
      </c>
      <c r="P36" s="174">
        <f>J36/12</f>
        <v>150</v>
      </c>
      <c r="Q36" s="188">
        <f>SUM(D36:O36)</f>
        <v>2549.77</v>
      </c>
      <c r="R36" s="195">
        <f>P36</f>
        <v>150</v>
      </c>
    </row>
    <row r="37" spans="1:18" ht="12.75" customHeight="1">
      <c r="A37" s="61"/>
      <c r="B37" s="53" t="s">
        <v>43</v>
      </c>
      <c r="C37" s="62"/>
      <c r="D37" s="86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80.46</v>
      </c>
      <c r="L37" s="149">
        <v>0</v>
      </c>
      <c r="M37" s="149">
        <v>1673</v>
      </c>
      <c r="N37" s="149">
        <v>161.91</v>
      </c>
      <c r="O37" s="150">
        <v>715</v>
      </c>
      <c r="P37" s="174">
        <f>SUM(K37:O37)/5</f>
        <v>526.074</v>
      </c>
      <c r="Q37" s="188">
        <f>SUM(D37:O37)</f>
        <v>2630.37</v>
      </c>
      <c r="R37" s="195"/>
    </row>
    <row r="38" spans="1:18" ht="12.75" customHeight="1">
      <c r="A38" s="61" t="s">
        <v>2</v>
      </c>
      <c r="B38" s="143" t="s">
        <v>22</v>
      </c>
      <c r="C38" s="144" t="s">
        <v>2</v>
      </c>
      <c r="D38" s="86">
        <v>1350</v>
      </c>
      <c r="E38" s="149">
        <v>1350</v>
      </c>
      <c r="F38" s="149">
        <v>1350</v>
      </c>
      <c r="G38" s="149">
        <v>1350</v>
      </c>
      <c r="H38" s="149">
        <v>1350</v>
      </c>
      <c r="I38" s="149">
        <v>1350</v>
      </c>
      <c r="J38" s="149">
        <v>1450</v>
      </c>
      <c r="K38" s="149">
        <v>1450</v>
      </c>
      <c r="L38" s="149">
        <v>1450</v>
      </c>
      <c r="M38" s="149">
        <v>1450</v>
      </c>
      <c r="N38" s="149">
        <v>1450</v>
      </c>
      <c r="O38" s="150">
        <v>1450</v>
      </c>
      <c r="P38" s="174"/>
      <c r="Q38" s="188">
        <f>SUM(D38:O38)</f>
        <v>16800</v>
      </c>
      <c r="R38" s="195">
        <v>1955</v>
      </c>
    </row>
    <row r="39" spans="1:18" ht="12.75" customHeight="1">
      <c r="A39" s="61" t="s">
        <v>2</v>
      </c>
      <c r="B39" s="143" t="s">
        <v>23</v>
      </c>
      <c r="C39" s="144" t="s">
        <v>2</v>
      </c>
      <c r="D39" s="86">
        <v>17.42</v>
      </c>
      <c r="E39" s="149">
        <v>0</v>
      </c>
      <c r="F39" s="149">
        <v>7.26</v>
      </c>
      <c r="G39" s="149">
        <v>10.29</v>
      </c>
      <c r="H39" s="149">
        <v>13.79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25.71</v>
      </c>
      <c r="O39" s="150">
        <v>0</v>
      </c>
      <c r="P39" s="174">
        <f>SUM(D39:O39)/12</f>
        <v>6.2058333333333335</v>
      </c>
      <c r="Q39" s="188">
        <f>SUM(D39:O39)</f>
        <v>74.47</v>
      </c>
      <c r="R39" s="195">
        <f>P39</f>
        <v>6.2058333333333335</v>
      </c>
    </row>
    <row r="40" spans="1:18" ht="12.75" customHeight="1">
      <c r="A40" s="61" t="s">
        <v>2</v>
      </c>
      <c r="B40" s="143" t="s">
        <v>24</v>
      </c>
      <c r="C40" s="144" t="s">
        <v>2</v>
      </c>
      <c r="D40" s="86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50">
        <v>0</v>
      </c>
      <c r="P40" s="174"/>
      <c r="Q40" s="188"/>
      <c r="R40" s="195"/>
    </row>
    <row r="41" spans="1:18" ht="12.75" customHeight="1">
      <c r="A41" s="61" t="s">
        <v>2</v>
      </c>
      <c r="B41" s="53"/>
      <c r="C41" s="53" t="s">
        <v>25</v>
      </c>
      <c r="D41" s="86">
        <v>161.24</v>
      </c>
      <c r="E41" s="149">
        <v>74.12</v>
      </c>
      <c r="F41" s="149">
        <v>115.5</v>
      </c>
      <c r="G41" s="149">
        <v>99.46</v>
      </c>
      <c r="H41" s="149">
        <v>99.33</v>
      </c>
      <c r="I41" s="149">
        <v>98.82</v>
      </c>
      <c r="J41" s="149">
        <v>105.39</v>
      </c>
      <c r="K41" s="149">
        <v>72.92</v>
      </c>
      <c r="L41" s="149">
        <v>145.38</v>
      </c>
      <c r="M41" s="149">
        <v>241.26</v>
      </c>
      <c r="N41" s="149">
        <v>164.4</v>
      </c>
      <c r="O41" s="150">
        <v>40.5</v>
      </c>
      <c r="P41" s="174">
        <f>SUM(D41:O41)/12</f>
        <v>118.19333333333334</v>
      </c>
      <c r="Q41" s="188">
        <f>SUM(D41:O41)</f>
        <v>1418.3200000000002</v>
      </c>
      <c r="R41" s="195">
        <f>P41</f>
        <v>118.19333333333334</v>
      </c>
    </row>
    <row r="42" spans="1:18" ht="12.75" customHeight="1">
      <c r="A42" s="61" t="s">
        <v>2</v>
      </c>
      <c r="B42" s="53"/>
      <c r="C42" s="53" t="s">
        <v>26</v>
      </c>
      <c r="D42" s="86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220.06</v>
      </c>
      <c r="O42" s="150">
        <v>68.44</v>
      </c>
      <c r="P42" s="174">
        <f>SUM(D42:O42)/4</f>
        <v>72.125</v>
      </c>
      <c r="Q42" s="188">
        <f>SUM(D42:O42)</f>
        <v>288.5</v>
      </c>
      <c r="R42" s="195">
        <v>53</v>
      </c>
    </row>
    <row r="43" spans="1:18" ht="12.75" customHeight="1">
      <c r="A43" s="61" t="s">
        <v>2</v>
      </c>
      <c r="B43" s="53"/>
      <c r="C43" s="53" t="s">
        <v>27</v>
      </c>
      <c r="D43" s="86">
        <v>133.88</v>
      </c>
      <c r="E43" s="149">
        <v>688.98</v>
      </c>
      <c r="F43" s="149">
        <v>664.75</v>
      </c>
      <c r="G43" s="149">
        <v>22.06</v>
      </c>
      <c r="H43" s="149">
        <v>67.13</v>
      </c>
      <c r="I43" s="149">
        <v>43.47</v>
      </c>
      <c r="J43" s="149">
        <v>104.46</v>
      </c>
      <c r="K43" s="149">
        <v>107.24</v>
      </c>
      <c r="L43" s="149">
        <v>395.13</v>
      </c>
      <c r="M43" s="149">
        <v>150.29</v>
      </c>
      <c r="N43" s="149">
        <v>13.94</v>
      </c>
      <c r="O43" s="150">
        <v>87.25</v>
      </c>
      <c r="P43" s="174">
        <f>SUM(D43:O43)/12</f>
        <v>206.54833333333337</v>
      </c>
      <c r="Q43" s="188">
        <f>SUM(D43:O43)</f>
        <v>2478.5800000000004</v>
      </c>
      <c r="R43" s="195">
        <f>P43</f>
        <v>206.54833333333337</v>
      </c>
    </row>
    <row r="44" spans="1:18" ht="12.75" customHeight="1">
      <c r="A44" s="61" t="s">
        <v>2</v>
      </c>
      <c r="B44" s="143" t="s">
        <v>28</v>
      </c>
      <c r="C44" s="144" t="s">
        <v>2</v>
      </c>
      <c r="D44" s="86">
        <v>0</v>
      </c>
      <c r="E44" s="149">
        <v>100</v>
      </c>
      <c r="F44" s="149">
        <v>-100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50">
        <v>0</v>
      </c>
      <c r="P44" s="174"/>
      <c r="Q44" s="188"/>
      <c r="R44" s="195"/>
    </row>
    <row r="45" spans="1:18" ht="12.75" customHeight="1">
      <c r="A45" s="61" t="s">
        <v>2</v>
      </c>
      <c r="B45" s="143" t="s">
        <v>29</v>
      </c>
      <c r="C45" s="144" t="s">
        <v>2</v>
      </c>
      <c r="D45" s="86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50">
        <v>0</v>
      </c>
      <c r="P45" s="174"/>
      <c r="Q45" s="188"/>
      <c r="R45" s="195">
        <v>250</v>
      </c>
    </row>
    <row r="46" spans="1:18" ht="12.75" customHeight="1">
      <c r="A46" s="61" t="s">
        <v>2</v>
      </c>
      <c r="B46" s="53"/>
      <c r="C46" s="53" t="s">
        <v>30</v>
      </c>
      <c r="D46" s="86">
        <v>167.51</v>
      </c>
      <c r="E46" s="149">
        <v>62.15</v>
      </c>
      <c r="F46" s="149">
        <v>78.26</v>
      </c>
      <c r="G46" s="149">
        <v>75.77</v>
      </c>
      <c r="H46" s="149">
        <v>81.24</v>
      </c>
      <c r="I46" s="149">
        <v>55.35</v>
      </c>
      <c r="J46" s="149">
        <v>77.22</v>
      </c>
      <c r="K46" s="149">
        <v>82.42</v>
      </c>
      <c r="L46" s="149">
        <v>75.92</v>
      </c>
      <c r="M46" s="149">
        <v>73.09</v>
      </c>
      <c r="N46" s="149">
        <v>78.86</v>
      </c>
      <c r="O46" s="150">
        <v>75.95</v>
      </c>
      <c r="P46" s="174">
        <f aca="true" t="shared" si="4" ref="P46:P52">SUM(D46:O46)/12</f>
        <v>81.97833333333334</v>
      </c>
      <c r="Q46" s="188">
        <f>SUM(D46:O46)</f>
        <v>983.74</v>
      </c>
      <c r="R46" s="195"/>
    </row>
    <row r="47" spans="1:18" ht="12.75" customHeight="1">
      <c r="A47" s="61" t="s">
        <v>2</v>
      </c>
      <c r="B47" s="53"/>
      <c r="C47" s="53" t="s">
        <v>31</v>
      </c>
      <c r="D47" s="86">
        <v>124.9</v>
      </c>
      <c r="E47" s="149">
        <v>124.9</v>
      </c>
      <c r="F47" s="149">
        <v>124.9</v>
      </c>
      <c r="G47" s="149">
        <v>124.9</v>
      </c>
      <c r="H47" s="149">
        <v>124.9</v>
      </c>
      <c r="I47" s="149">
        <v>125.09</v>
      </c>
      <c r="J47" s="149">
        <v>125.85</v>
      </c>
      <c r="K47" s="149">
        <v>125.85</v>
      </c>
      <c r="L47" s="149">
        <v>132.15</v>
      </c>
      <c r="M47" s="149">
        <v>132.15</v>
      </c>
      <c r="N47" s="149">
        <v>132.15</v>
      </c>
      <c r="O47" s="150">
        <v>132.15</v>
      </c>
      <c r="P47" s="174">
        <f t="shared" si="4"/>
        <v>127.49083333333336</v>
      </c>
      <c r="Q47" s="188">
        <f>SUM(D47:O47)</f>
        <v>1529.8900000000003</v>
      </c>
      <c r="R47" s="195"/>
    </row>
    <row r="48" spans="1:18" ht="12.75" customHeight="1">
      <c r="A48" s="61" t="s">
        <v>2</v>
      </c>
      <c r="B48" s="53"/>
      <c r="C48" s="53" t="s">
        <v>32</v>
      </c>
      <c r="D48" s="86">
        <v>160</v>
      </c>
      <c r="E48" s="149">
        <v>0</v>
      </c>
      <c r="F48" s="149">
        <v>0</v>
      </c>
      <c r="G48" s="149">
        <v>160</v>
      </c>
      <c r="H48" s="149">
        <v>160</v>
      </c>
      <c r="I48" s="149">
        <v>0</v>
      </c>
      <c r="J48" s="149">
        <v>0</v>
      </c>
      <c r="K48" s="149">
        <v>21.79</v>
      </c>
      <c r="L48" s="149">
        <v>0</v>
      </c>
      <c r="M48" s="149">
        <v>37.21</v>
      </c>
      <c r="N48" s="149">
        <v>25.43</v>
      </c>
      <c r="O48" s="150">
        <v>0</v>
      </c>
      <c r="P48" s="174">
        <f>SUM(J48:O48)/6</f>
        <v>14.071666666666667</v>
      </c>
      <c r="Q48" s="188">
        <f>SUM(D48:O48)</f>
        <v>564.43</v>
      </c>
      <c r="R48" s="195"/>
    </row>
    <row r="49" spans="1:18" ht="12.75" customHeight="1">
      <c r="A49" s="61" t="s">
        <v>2</v>
      </c>
      <c r="B49" s="143" t="s">
        <v>33</v>
      </c>
      <c r="C49" s="144" t="s">
        <v>2</v>
      </c>
      <c r="D49" s="86">
        <v>482.72</v>
      </c>
      <c r="E49" s="149">
        <v>173.81</v>
      </c>
      <c r="F49" s="149">
        <v>171.92</v>
      </c>
      <c r="G49" s="149">
        <v>180.32</v>
      </c>
      <c r="H49" s="149">
        <v>0</v>
      </c>
      <c r="I49" s="149">
        <v>0</v>
      </c>
      <c r="J49" s="149">
        <v>411.17</v>
      </c>
      <c r="K49" s="149">
        <v>313.56</v>
      </c>
      <c r="L49" s="149">
        <v>69.64</v>
      </c>
      <c r="M49" s="149">
        <v>21.96</v>
      </c>
      <c r="N49" s="149">
        <v>152.21</v>
      </c>
      <c r="O49" s="150">
        <v>71.4</v>
      </c>
      <c r="P49" s="174">
        <f t="shared" si="4"/>
        <v>170.72583333333333</v>
      </c>
      <c r="Q49" s="188">
        <f>SUM(D49:O49)</f>
        <v>2048.71</v>
      </c>
      <c r="R49" s="195"/>
    </row>
    <row r="50" spans="1:18" ht="12.75" customHeight="1">
      <c r="A50" s="148" t="s">
        <v>34</v>
      </c>
      <c r="B50" s="119"/>
      <c r="C50" s="119" t="s">
        <v>2</v>
      </c>
      <c r="D50" s="101">
        <f>SUM(D28:D39)+SUM(D41:D44)+SUM(D46:D49)</f>
        <v>2873.1200000000003</v>
      </c>
      <c r="E50" s="101">
        <f aca="true" t="shared" si="5" ref="E50:O50">SUM(E28:E39)+SUM(E41:E44)+SUM(E46:E49)</f>
        <v>3175.05</v>
      </c>
      <c r="F50" s="101">
        <f t="shared" si="5"/>
        <v>2679.6</v>
      </c>
      <c r="G50" s="101">
        <f t="shared" si="5"/>
        <v>2284.3</v>
      </c>
      <c r="H50" s="101">
        <f t="shared" si="5"/>
        <v>2212.33</v>
      </c>
      <c r="I50" s="101">
        <f t="shared" si="5"/>
        <v>1817.44</v>
      </c>
      <c r="J50" s="101">
        <f t="shared" si="5"/>
        <v>4227.96</v>
      </c>
      <c r="K50" s="101">
        <f t="shared" si="5"/>
        <v>2433.96</v>
      </c>
      <c r="L50" s="101">
        <f t="shared" si="5"/>
        <v>2883.05</v>
      </c>
      <c r="M50" s="101">
        <f t="shared" si="5"/>
        <v>5326.91</v>
      </c>
      <c r="N50" s="101">
        <f t="shared" si="5"/>
        <v>4122.99</v>
      </c>
      <c r="O50" s="208">
        <f t="shared" si="5"/>
        <v>3211.7400000000002</v>
      </c>
      <c r="P50" s="179">
        <f t="shared" si="4"/>
        <v>3104.0375</v>
      </c>
      <c r="Q50" s="190">
        <f>SUM(D50:O50)</f>
        <v>37248.45</v>
      </c>
      <c r="R50" s="196">
        <f>SUM(R28:R49)</f>
        <v>2908.107033333333</v>
      </c>
    </row>
    <row r="51" spans="1:18" ht="12.75" customHeight="1">
      <c r="A51" s="58"/>
      <c r="B51" s="82"/>
      <c r="C51" s="85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179"/>
      <c r="Q51" s="210"/>
      <c r="R51" s="195"/>
    </row>
    <row r="52" spans="1:18" ht="12.75" customHeight="1">
      <c r="A52" s="145" t="s">
        <v>36</v>
      </c>
      <c r="B52" s="146"/>
      <c r="C52" s="146" t="s">
        <v>2</v>
      </c>
      <c r="D52" s="101">
        <f aca="true" t="shared" si="6" ref="D52:O52">D24-D50</f>
        <v>-207.92000000000053</v>
      </c>
      <c r="E52" s="101">
        <f t="shared" si="6"/>
        <v>-349.2600000000002</v>
      </c>
      <c r="F52" s="101">
        <f t="shared" si="6"/>
        <v>-29.259999999999764</v>
      </c>
      <c r="G52" s="101">
        <f t="shared" si="6"/>
        <v>394.5799999999999</v>
      </c>
      <c r="H52" s="101">
        <f t="shared" si="6"/>
        <v>2720.1800000000003</v>
      </c>
      <c r="I52" s="101">
        <f t="shared" si="6"/>
        <v>1992.23</v>
      </c>
      <c r="J52" s="101">
        <f t="shared" si="6"/>
        <v>-847.9699999999998</v>
      </c>
      <c r="K52" s="101">
        <f t="shared" si="6"/>
        <v>1191.1600000000008</v>
      </c>
      <c r="L52" s="101">
        <f t="shared" si="6"/>
        <v>2974.42</v>
      </c>
      <c r="M52" s="101">
        <f t="shared" si="6"/>
        <v>-1344.27</v>
      </c>
      <c r="N52" s="101">
        <f t="shared" si="6"/>
        <v>23075.679999999993</v>
      </c>
      <c r="O52" s="208">
        <f t="shared" si="6"/>
        <v>2986.14</v>
      </c>
      <c r="P52" s="179">
        <f t="shared" si="4"/>
        <v>2712.9758333333325</v>
      </c>
      <c r="Q52" s="207">
        <f>SUM(D52:O52)</f>
        <v>32555.709999999992</v>
      </c>
      <c r="R52" s="196">
        <f>R24-R50</f>
        <v>163.54880000000003</v>
      </c>
    </row>
    <row r="53" spans="1:18" ht="12.75" customHeight="1">
      <c r="A53" s="56"/>
      <c r="B53" s="83"/>
      <c r="C53" s="8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208"/>
      <c r="P53" s="179"/>
      <c r="Q53" s="207"/>
      <c r="R53" s="196"/>
    </row>
    <row r="54" spans="1:16" ht="12.75" customHeight="1" hidden="1">
      <c r="A54" s="4" t="s">
        <v>125</v>
      </c>
      <c r="D54" s="84"/>
      <c r="E54" s="60"/>
      <c r="F54" s="60"/>
      <c r="G54" s="60"/>
      <c r="H54" s="60"/>
      <c r="I54" s="60"/>
      <c r="J54" s="167"/>
      <c r="K54" s="168"/>
      <c r="L54" s="60"/>
      <c r="M54" s="60"/>
      <c r="N54" s="60"/>
      <c r="O54" s="166"/>
      <c r="P54" s="174"/>
    </row>
    <row r="55" spans="1:16" ht="12.75" customHeight="1" hidden="1">
      <c r="A55" s="9"/>
      <c r="B55" s="9"/>
      <c r="C55" s="9" t="s">
        <v>126</v>
      </c>
      <c r="D55" s="79">
        <f>D7+D9+D14+D15+D18+D19+D23</f>
        <v>1541.2</v>
      </c>
      <c r="E55" s="79">
        <f>E7+E9+E14+E15+E18+E19+E23</f>
        <v>2810.79</v>
      </c>
      <c r="F55" s="79">
        <f>F7+F9+F14+F15+F18+F19+F23</f>
        <v>2529.34</v>
      </c>
      <c r="G55" s="79">
        <f>G7+G9+G14+G15+G18+G19+G23</f>
        <v>2678.88</v>
      </c>
      <c r="H55" s="79">
        <f>H7+H9+H14+H15+H18+H19+H23</f>
        <v>2932.51</v>
      </c>
      <c r="I55" s="79">
        <f>I7+I9+I14+I15+I18+I19+I23</f>
        <v>3676.67</v>
      </c>
      <c r="J55" s="79">
        <f>J7+J9+J14+J15+J18+J19+J23</f>
        <v>3379.9900000000002</v>
      </c>
      <c r="K55" s="79">
        <f>K7+K9+K14+K15+K18+K19+K23</f>
        <v>3585.120000000001</v>
      </c>
      <c r="L55" s="79">
        <f>L7+L9+L14+L15+L18+L19+L23</f>
        <v>4988.39</v>
      </c>
      <c r="M55" s="79">
        <f>M7+M9+M14+M15+M18+M19+M23</f>
        <v>2790.75</v>
      </c>
      <c r="N55" s="79">
        <f>N7+N9+N14+N15+N18+N19+N23</f>
        <v>4271.62</v>
      </c>
      <c r="O55" s="170">
        <f>O7+O9+O14+O15+O18+O19+O23</f>
        <v>1697.71</v>
      </c>
      <c r="P55" s="174">
        <f>SUM(D55:O55)/12</f>
        <v>3073.5808333333334</v>
      </c>
    </row>
    <row r="56" spans="2:16" ht="12.75" customHeight="1" hidden="1">
      <c r="B56" s="9"/>
      <c r="C56" s="10" t="s">
        <v>127</v>
      </c>
      <c r="D56" s="79">
        <f>D28+D29+D32+D33+D34+D36+D38+D39+D41+D42+D43+D46+D47+D48+D49</f>
        <v>2873.12</v>
      </c>
      <c r="E56" s="79">
        <f>E28+E29+E32+E33+E34+E36+E38+E39+E41+E42+E43+E46+E47+E48+E49</f>
        <v>3075.05</v>
      </c>
      <c r="F56" s="79">
        <f>F28+F29+F32+F33+F34+F36+F38+F39+F41+F42+F43+F46+F47+F48+F49</f>
        <v>2779.6000000000004</v>
      </c>
      <c r="G56" s="79">
        <f>G28+G29+G32+G33+G34+G36+G38+G39+G41+G42+G43+G46+G47+G48+G49</f>
        <v>2284.3</v>
      </c>
      <c r="H56" s="79">
        <f>H28+H29+H32+H33+H34+H36+H38+H39+H41+H42+H43+H46+H47+H48+H49</f>
        <v>2212.33</v>
      </c>
      <c r="I56" s="79">
        <f>I28+I29+I32+I33+I34+I36+I38+I39+I41+I42+I43+I46+I47+I48+I49</f>
        <v>1817.4399999999998</v>
      </c>
      <c r="J56" s="79">
        <f>J28+J29+J32+J33+J34+J36+J38+J39+J41+J42+J43+J46+J47+J48+J49</f>
        <v>4227.959999999999</v>
      </c>
      <c r="K56" s="79">
        <f>K28+K29+K32+K33+K34+K36+K38+K39+K41+K42+K43+K46+K47+K48+K49</f>
        <v>2313.35</v>
      </c>
      <c r="L56" s="79">
        <f>L28+L29+L32+L33+L34+L36+L38+L39+L41+L42+L43+L46+L47+L48+L49</f>
        <v>2383.05</v>
      </c>
      <c r="M56" s="79">
        <f>M28+M29+M32+M33+M34+M36+M38+M39+M41+M42+M43+M46+M47+M48+M49</f>
        <v>2225.5699999999997</v>
      </c>
      <c r="N56" s="79">
        <f>N28+N29+N32+N33+N34+N36+N38+N39+N41+N42+N43+N46+N47+N48+N49</f>
        <v>2417.9900000000002</v>
      </c>
      <c r="O56" s="170">
        <f>O28+O29+O32+O33+O34+O36+O38+O39+O41+O42+O43+O46+O47+O48+O49</f>
        <v>2257.71</v>
      </c>
      <c r="P56" s="174">
        <f>SUM(D56:O56)/12</f>
        <v>2572.2891666666665</v>
      </c>
    </row>
    <row r="57" spans="2:16" ht="12.75" customHeight="1" hidden="1">
      <c r="B57" s="9"/>
      <c r="C57" s="176" t="s">
        <v>128</v>
      </c>
      <c r="D57" s="177">
        <f>D55-D56</f>
        <v>-1331.9199999999998</v>
      </c>
      <c r="E57" s="177">
        <f>E55-E56</f>
        <v>-264.2600000000002</v>
      </c>
      <c r="F57" s="177">
        <f>F55-F56</f>
        <v>-250.26000000000022</v>
      </c>
      <c r="G57" s="177">
        <f>G55-G56</f>
        <v>394.5799999999999</v>
      </c>
      <c r="H57" s="177">
        <f>H55-H56</f>
        <v>720.1800000000003</v>
      </c>
      <c r="I57" s="177">
        <f>I55-I56</f>
        <v>1859.2300000000002</v>
      </c>
      <c r="J57" s="177">
        <f>J55-J56</f>
        <v>-847.9699999999989</v>
      </c>
      <c r="K57" s="177">
        <f>K55-K56</f>
        <v>1271.770000000001</v>
      </c>
      <c r="L57" s="177">
        <f>L55-L56</f>
        <v>2605.34</v>
      </c>
      <c r="M57" s="177">
        <f>M55-M56</f>
        <v>565.1800000000003</v>
      </c>
      <c r="N57" s="177">
        <f>N55-N56</f>
        <v>1853.6299999999997</v>
      </c>
      <c r="O57" s="178">
        <f>O55-O56</f>
        <v>-560</v>
      </c>
      <c r="P57" s="179">
        <f>SUM(D57:O57)/12</f>
        <v>501.2916666666668</v>
      </c>
    </row>
    <row r="58" spans="4:16" ht="12.75" customHeight="1" hidden="1">
      <c r="D58" s="59"/>
      <c r="E58" s="59"/>
      <c r="F58" s="59"/>
      <c r="G58" s="59"/>
      <c r="H58" s="59"/>
      <c r="I58" s="59"/>
      <c r="J58" s="59"/>
      <c r="K58" s="59"/>
      <c r="L58" s="60"/>
      <c r="M58" s="60"/>
      <c r="N58" s="60"/>
      <c r="O58" s="166"/>
      <c r="P58" s="174"/>
    </row>
    <row r="59" spans="1:16" ht="12.75" customHeight="1" hidden="1">
      <c r="A59" s="4" t="s">
        <v>129</v>
      </c>
      <c r="D59" s="8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166"/>
      <c r="P59" s="174"/>
    </row>
    <row r="60" spans="3:16" ht="12.75" customHeight="1" hidden="1">
      <c r="C60" s="9" t="s">
        <v>126</v>
      </c>
      <c r="D60" s="169">
        <f>D7+D9+D14+D15+D18+D19+D23</f>
        <v>1541.2</v>
      </c>
      <c r="E60" s="169">
        <f>E7+E9+E14+E15+E18+E19+E23</f>
        <v>2810.79</v>
      </c>
      <c r="F60" s="169">
        <f>F7+F9+F14+F15+F18+F19+F23</f>
        <v>2529.34</v>
      </c>
      <c r="G60" s="169">
        <f>G7+G9+G14+G15+G18+G19+G23</f>
        <v>2678.88</v>
      </c>
      <c r="H60" s="169">
        <f>H7+H9+H14+H15+H18+H19+H23</f>
        <v>2932.51</v>
      </c>
      <c r="I60" s="169">
        <f>I7+I9+I14+I15+I18+I19+I23</f>
        <v>3676.67</v>
      </c>
      <c r="J60" s="169">
        <f>J7+J9+J14+J15+J18+J19+J23</f>
        <v>3379.9900000000002</v>
      </c>
      <c r="K60" s="169">
        <f>K7+K9+K14+K15+K18+K19+K23</f>
        <v>3585.120000000001</v>
      </c>
      <c r="L60" s="169">
        <f>L7+L9+L14+L15+L18+L19+L23</f>
        <v>4988.39</v>
      </c>
      <c r="M60" s="169">
        <f>M7+M9+M14+M15+M18+M19+M23</f>
        <v>2790.75</v>
      </c>
      <c r="N60" s="169">
        <f>N7+N9+N14+N15+N18+N19+N23</f>
        <v>4271.62</v>
      </c>
      <c r="O60" s="171">
        <f>O7+O9+O14+O15+O18+O19+O23</f>
        <v>1697.71</v>
      </c>
      <c r="P60" s="174">
        <f>SUM(D60:O60)/12</f>
        <v>3073.5808333333334</v>
      </c>
    </row>
    <row r="61" spans="3:16" ht="12.75" customHeight="1" hidden="1">
      <c r="C61" s="10" t="s">
        <v>127</v>
      </c>
      <c r="D61" s="169">
        <f>D28+($O$29/12)+($E$32/12)+D33+D34+($J$36/12)+D38+D39+D41+D42+D43+D46+D47+D48+D49</f>
        <v>2895.1525</v>
      </c>
      <c r="E61" s="169">
        <f>E28+($O$29/12)+($E$32/12)+E33+E34+($J$36/12)+E38+E39+E41+E42+E43+E46+E47+E48+E49</f>
        <v>2921.2525</v>
      </c>
      <c r="F61" s="169">
        <f>F28+($O$29/12)+($E$32/12)+F33+F34+($J$36/12)+F38+F39+F41+F42+F43+F46+F47+F48+F49</f>
        <v>2822.7025000000003</v>
      </c>
      <c r="G61" s="169">
        <f>G28+($O$29/12)+($E$32/12)+G33+G34+($J$36/12)+G38+G39+G41+G42+G43+G46+G47+G48+G49</f>
        <v>2327.4025</v>
      </c>
      <c r="H61" s="169">
        <f>H28+($O$29/12)+($E$32/12)+H33+H34+($J$36/12)+H38+H39+H41+H42+H43+H46+H47+H48+H49</f>
        <v>2255.4325</v>
      </c>
      <c r="I61" s="169">
        <f>I28+($O$29/12)+($E$32/12)+I33+I34+($J$36/12)+I38+I39+I41+I42+I43+I46+I47+I48+I49</f>
        <v>1981.9924999999998</v>
      </c>
      <c r="J61" s="169">
        <f>J28+($O$29/12)+($E$32/12)+J33+J34+($J$36/12)+J38+J39+J41+J42+J43+J46+J47+J48+J49</f>
        <v>2592.5125000000003</v>
      </c>
      <c r="K61" s="169">
        <f>K28+($O$29/12)+($E$32/12)+K33+K34+($J$36/12)+K38+K39+K41+K42+K43+K46+K47+K48+K49</f>
        <v>2477.9025</v>
      </c>
      <c r="L61" s="169">
        <f>L28+($O$29/12)+($E$32/12)+L33+L34+($J$36/12)+L38+L39+L41+L42+L43+L46+L47+L48+L49</f>
        <v>2547.6025</v>
      </c>
      <c r="M61" s="169">
        <f>M28+($O$29/12)+($E$32/12)+M33+M34+($J$36/12)+M38+M39+M41+M42+M43+M46+M47+M48+M49</f>
        <v>2390.1225000000004</v>
      </c>
      <c r="N61" s="169">
        <f>N28+($O$29/12)+($E$32/12)+N33+N34+($J$36/12)+N38+N39+N41+N42+N43+N46+N47+N48+N49</f>
        <v>2582.5425000000005</v>
      </c>
      <c r="O61" s="171">
        <f>O28+($O$29/12)+($E$32/12)+O33+O34+($J$36/12)+O38+O39+O41+O42+O43+O46+O47+O48+O49</f>
        <v>2323.0825</v>
      </c>
      <c r="P61" s="174">
        <f>SUM(D61:O61)/12</f>
        <v>2509.808333333334</v>
      </c>
    </row>
    <row r="62" spans="3:16" ht="12.75" customHeight="1" hidden="1">
      <c r="C62" s="176" t="s">
        <v>128</v>
      </c>
      <c r="D62" s="177">
        <f>D60-D61</f>
        <v>-1353.9525</v>
      </c>
      <c r="E62" s="177">
        <f>E60-E61</f>
        <v>-110.46250000000009</v>
      </c>
      <c r="F62" s="177">
        <f>F60-F61</f>
        <v>-293.3625000000002</v>
      </c>
      <c r="G62" s="177">
        <f>G60-G61</f>
        <v>351.47749999999996</v>
      </c>
      <c r="H62" s="177">
        <f>H60-H61</f>
        <v>677.0775000000003</v>
      </c>
      <c r="I62" s="177">
        <f>I60-I61</f>
        <v>1694.6775000000002</v>
      </c>
      <c r="J62" s="177">
        <f>J60-J61</f>
        <v>787.4775</v>
      </c>
      <c r="K62" s="177">
        <f>K60-K61</f>
        <v>1107.2175000000007</v>
      </c>
      <c r="L62" s="177">
        <f>L60-L61</f>
        <v>2440.7875000000004</v>
      </c>
      <c r="M62" s="177">
        <f>M60-M61</f>
        <v>400.6274999999996</v>
      </c>
      <c r="N62" s="177">
        <f>N60-N61</f>
        <v>1689.0774999999994</v>
      </c>
      <c r="O62" s="178">
        <f>O60-O61</f>
        <v>-625.3725</v>
      </c>
      <c r="P62" s="179">
        <f>SUM(D62:O62)/12</f>
        <v>563.7725</v>
      </c>
    </row>
    <row r="63" ht="12.75" hidden="1"/>
    <row r="64" ht="12.75" hidden="1">
      <c r="A64" s="4" t="s">
        <v>132</v>
      </c>
    </row>
    <row r="65" spans="3:18" ht="12.75" hidden="1">
      <c r="C65" s="10" t="str">
        <f>B15</f>
        <v>Membership Fees</v>
      </c>
      <c r="D65" s="180">
        <f>D15</f>
        <v>965</v>
      </c>
      <c r="E65" s="180">
        <f>E15</f>
        <v>1091</v>
      </c>
      <c r="F65" s="180">
        <f>F15</f>
        <v>997</v>
      </c>
      <c r="G65" s="180">
        <f>G15</f>
        <v>1460</v>
      </c>
      <c r="H65" s="180">
        <f>H15</f>
        <v>1189</v>
      </c>
      <c r="I65" s="180">
        <f>I15</f>
        <v>1434</v>
      </c>
      <c r="J65" s="180">
        <f>J15</f>
        <v>1577</v>
      </c>
      <c r="K65" s="180">
        <f>K15</f>
        <v>1698.14</v>
      </c>
      <c r="L65" s="180">
        <f>L15</f>
        <v>2314.76</v>
      </c>
      <c r="M65" s="180">
        <f>M15</f>
        <v>2066.79</v>
      </c>
      <c r="N65" s="180">
        <f>N15</f>
        <v>1749.35</v>
      </c>
      <c r="O65" s="181">
        <f>O15</f>
        <v>803.23</v>
      </c>
      <c r="P65" s="197"/>
      <c r="R65" s="198"/>
    </row>
    <row r="66" spans="3:18" ht="12.75" hidden="1">
      <c r="C66" s="10" t="str">
        <f>B9</f>
        <v>Day Use</v>
      </c>
      <c r="D66" s="180">
        <f>D9</f>
        <v>325</v>
      </c>
      <c r="E66" s="180">
        <f>E9</f>
        <v>526</v>
      </c>
      <c r="F66" s="180">
        <f>F9</f>
        <v>574</v>
      </c>
      <c r="G66" s="180">
        <f>G9</f>
        <v>598</v>
      </c>
      <c r="H66" s="180">
        <f>H9</f>
        <v>418</v>
      </c>
      <c r="I66" s="180">
        <f>I9</f>
        <v>396</v>
      </c>
      <c r="J66" s="180">
        <f>J9</f>
        <v>510</v>
      </c>
      <c r="K66" s="180">
        <f>K9</f>
        <v>1032.68</v>
      </c>
      <c r="L66" s="180">
        <f>L9</f>
        <v>805.04</v>
      </c>
      <c r="M66" s="180">
        <f>M9</f>
        <v>470.34</v>
      </c>
      <c r="N66" s="180">
        <f>N9</f>
        <v>455.46</v>
      </c>
      <c r="O66" s="181">
        <f>O9</f>
        <v>475.27</v>
      </c>
      <c r="P66" s="197"/>
      <c r="R66" s="198"/>
    </row>
    <row r="67" spans="3:18" ht="12.75" hidden="1">
      <c r="C67" s="10" t="str">
        <f>B18</f>
        <v>Parts Sales</v>
      </c>
      <c r="D67" s="180">
        <f>D18</f>
        <v>250.24</v>
      </c>
      <c r="E67" s="180">
        <f>E18</f>
        <v>562.84</v>
      </c>
      <c r="F67" s="180">
        <f>F18</f>
        <v>507.45</v>
      </c>
      <c r="G67" s="180">
        <f>G18</f>
        <v>603.54</v>
      </c>
      <c r="H67" s="180">
        <f>H18</f>
        <v>622</v>
      </c>
      <c r="I67" s="180">
        <f>I18</f>
        <v>842.39</v>
      </c>
      <c r="J67" s="180">
        <f>J18</f>
        <v>559.38</v>
      </c>
      <c r="K67" s="180">
        <f>K18</f>
        <v>738.73</v>
      </c>
      <c r="L67" s="180">
        <f>L18</f>
        <v>832.11</v>
      </c>
      <c r="M67" s="180">
        <f>M18</f>
        <v>226.81</v>
      </c>
      <c r="N67" s="180">
        <f>N18</f>
        <v>801.28</v>
      </c>
      <c r="O67" s="181">
        <f>O18</f>
        <v>376.34</v>
      </c>
      <c r="P67" s="197"/>
      <c r="R67" s="198"/>
    </row>
    <row r="68" spans="3:18" ht="12.75" hidden="1">
      <c r="C68" s="10" t="str">
        <f>B7</f>
        <v>Classes</v>
      </c>
      <c r="D68" s="180">
        <f>D7</f>
        <v>0</v>
      </c>
      <c r="E68" s="180">
        <f>E7</f>
        <v>630</v>
      </c>
      <c r="F68" s="180">
        <f>F7</f>
        <v>450</v>
      </c>
      <c r="G68" s="180">
        <f>G7</f>
        <v>0</v>
      </c>
      <c r="H68" s="180">
        <f>H7</f>
        <v>670</v>
      </c>
      <c r="I68" s="180">
        <f>I7</f>
        <v>960</v>
      </c>
      <c r="J68" s="180">
        <f>J7</f>
        <v>620</v>
      </c>
      <c r="K68" s="180">
        <f>K7</f>
        <v>0</v>
      </c>
      <c r="L68" s="180">
        <f>L7</f>
        <v>1015.19</v>
      </c>
      <c r="M68" s="180">
        <f>M7</f>
        <v>0</v>
      </c>
      <c r="N68" s="180">
        <f>N7</f>
        <v>1243.53</v>
      </c>
      <c r="O68" s="181">
        <f>O7</f>
        <v>0</v>
      </c>
      <c r="P68" s="197"/>
      <c r="R68" s="198"/>
    </row>
    <row r="69" spans="3:18" ht="12.75" hidden="1">
      <c r="C69" s="10" t="str">
        <f>B19</f>
        <v>Special Orders</v>
      </c>
      <c r="D69" s="180">
        <f>D19</f>
        <v>0</v>
      </c>
      <c r="E69" s="180">
        <f>E19</f>
        <v>0</v>
      </c>
      <c r="F69" s="180">
        <f>F19</f>
        <v>0</v>
      </c>
      <c r="G69" s="180">
        <f>G19</f>
        <v>16.38</v>
      </c>
      <c r="H69" s="180">
        <f>H19</f>
        <v>32.59</v>
      </c>
      <c r="I69" s="180">
        <f>I19</f>
        <v>43.32</v>
      </c>
      <c r="J69" s="180">
        <f>J19</f>
        <v>112.68</v>
      </c>
      <c r="K69" s="180">
        <f>K19</f>
        <v>102.26</v>
      </c>
      <c r="L69" s="180">
        <f>L19</f>
        <v>20.33</v>
      </c>
      <c r="M69" s="180">
        <f>M19</f>
        <v>25.88</v>
      </c>
      <c r="N69" s="180">
        <f>N19</f>
        <v>15.36</v>
      </c>
      <c r="O69" s="181">
        <f>O19</f>
        <v>36.18</v>
      </c>
      <c r="P69" s="197"/>
      <c r="R69" s="198"/>
    </row>
    <row r="73" ht="12.75">
      <c r="C73" s="10" t="s">
        <v>133</v>
      </c>
    </row>
  </sheetData>
  <mergeCells count="32">
    <mergeCell ref="A2:C2"/>
    <mergeCell ref="A3:C3"/>
    <mergeCell ref="A24:C24"/>
    <mergeCell ref="B4:C4"/>
    <mergeCell ref="B7:C7"/>
    <mergeCell ref="B9:C9"/>
    <mergeCell ref="B12:C12"/>
    <mergeCell ref="B13:C13"/>
    <mergeCell ref="B14:C14"/>
    <mergeCell ref="B15:C15"/>
    <mergeCell ref="A50:C50"/>
    <mergeCell ref="A52:C52"/>
    <mergeCell ref="B28:C28"/>
    <mergeCell ref="B30:C30"/>
    <mergeCell ref="B31:C31"/>
    <mergeCell ref="B32:C32"/>
    <mergeCell ref="B33:C33"/>
    <mergeCell ref="B36:C36"/>
    <mergeCell ref="B34:C34"/>
    <mergeCell ref="B35:C35"/>
    <mergeCell ref="B17:C17"/>
    <mergeCell ref="A26:C26"/>
    <mergeCell ref="B44:C44"/>
    <mergeCell ref="B45:C45"/>
    <mergeCell ref="B18:C18"/>
    <mergeCell ref="B19:C19"/>
    <mergeCell ref="B23:C23"/>
    <mergeCell ref="A27:C27"/>
    <mergeCell ref="B49:C49"/>
    <mergeCell ref="B38:C38"/>
    <mergeCell ref="B39:C39"/>
    <mergeCell ref="B40:C40"/>
  </mergeCells>
  <printOptions gridLines="1" horizontalCentered="1" verticalCentered="1"/>
  <pageMargins left="0" right="0" top="0" bottom="0" header="0.5" footer="0.5"/>
  <pageSetup fitToHeight="1" fitToWidth="1" horizontalDpi="360" verticalDpi="360" orientation="landscape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For Period Covering 12/01/2007 to 12/31/2007</dc:title>
  <dc:subject/>
  <dc:creator/>
  <cp:keywords/>
  <dc:description/>
  <cp:lastModifiedBy>elowrey</cp:lastModifiedBy>
  <cp:lastPrinted>2009-01-30T23:45:17Z</cp:lastPrinted>
  <dcterms:created xsi:type="dcterms:W3CDTF">2009-01-18T02:31:09Z</dcterms:created>
  <dcterms:modified xsi:type="dcterms:W3CDTF">2009-01-31T00:30:42Z</dcterms:modified>
  <cp:category/>
  <cp:version/>
  <cp:contentType/>
  <cp:contentStatus/>
</cp:coreProperties>
</file>